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 SKRIPSI\bagian akuuuu\BISMILLAH\analisis prioritas\"/>
    </mc:Choice>
  </mc:AlternateContent>
  <xr:revisionPtr revIDLastSave="0" documentId="13_ncr:1_{92BBE29D-4198-43C3-BE8A-CFED0267D6E6}" xr6:coauthVersionLast="44" xr6:coauthVersionMax="44" xr10:uidLastSave="{00000000-0000-0000-0000-000000000000}"/>
  <bookViews>
    <workbookView xWindow="-285" yWindow="915" windowWidth="9270" windowHeight="9240" firstSheet="2" activeTab="5" xr2:uid="{6E8DFE90-4A9C-4D5E-933A-38DD5C00A131}"/>
  </bookViews>
  <sheets>
    <sheet name="Analisa kas" sheetId="1" r:id="rId1"/>
    <sheet name="Pendapatan biaya chasflow" sheetId="2" r:id="rId2"/>
    <sheet name="BEP" sheetId="7" r:id="rId3"/>
    <sheet name="NPV" sheetId="3" r:id="rId4"/>
    <sheet name="BCR" sheetId="4" r:id="rId5"/>
    <sheet name="IRR" sheetId="5" r:id="rId6"/>
    <sheet name="Payback Period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3" i="5"/>
  <c r="H26" i="1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4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5" i="7"/>
  <c r="G6" i="7"/>
  <c r="G4" i="7"/>
  <c r="I2" i="7"/>
  <c r="H2" i="7"/>
  <c r="G2" i="7"/>
  <c r="K27" i="1"/>
  <c r="K26" i="1"/>
  <c r="K25" i="1"/>
  <c r="K24" i="1"/>
  <c r="J25" i="1"/>
  <c r="J26" i="1"/>
  <c r="J24" i="1"/>
  <c r="D4" i="7" l="1"/>
  <c r="C5" i="7"/>
  <c r="C4" i="7"/>
  <c r="A23" i="7"/>
  <c r="A22" i="4" s="1"/>
  <c r="B22" i="6" s="1"/>
  <c r="J22" i="6" s="1"/>
  <c r="A22" i="7"/>
  <c r="A21" i="4" s="1"/>
  <c r="B21" i="6" s="1"/>
  <c r="J21" i="6" s="1"/>
  <c r="A21" i="7"/>
  <c r="A20" i="4" s="1"/>
  <c r="B20" i="6" s="1"/>
  <c r="J20" i="6" s="1"/>
  <c r="A20" i="7"/>
  <c r="A19" i="4" s="1"/>
  <c r="B19" i="6" s="1"/>
  <c r="J19" i="6" s="1"/>
  <c r="A19" i="7"/>
  <c r="A18" i="4" s="1"/>
  <c r="B18" i="6" s="1"/>
  <c r="J18" i="6" s="1"/>
  <c r="A18" i="7"/>
  <c r="A17" i="4" s="1"/>
  <c r="B17" i="6" s="1"/>
  <c r="J17" i="6" s="1"/>
  <c r="A17" i="7"/>
  <c r="A16" i="4" s="1"/>
  <c r="B16" i="6" s="1"/>
  <c r="J16" i="6" s="1"/>
  <c r="A16" i="7"/>
  <c r="A15" i="4" s="1"/>
  <c r="B15" i="6" s="1"/>
  <c r="J15" i="6" s="1"/>
  <c r="A15" i="7"/>
  <c r="A14" i="4" s="1"/>
  <c r="B14" i="6" s="1"/>
  <c r="J14" i="6" s="1"/>
  <c r="A14" i="7"/>
  <c r="A13" i="4" s="1"/>
  <c r="B13" i="6" s="1"/>
  <c r="J13" i="6" s="1"/>
  <c r="A13" i="7"/>
  <c r="A12" i="4" s="1"/>
  <c r="B12" i="6" s="1"/>
  <c r="J12" i="6" s="1"/>
  <c r="A12" i="7"/>
  <c r="A11" i="4" s="1"/>
  <c r="B11" i="6" s="1"/>
  <c r="J11" i="6" s="1"/>
  <c r="A11" i="7"/>
  <c r="A10" i="4" s="1"/>
  <c r="B10" i="6" s="1"/>
  <c r="J10" i="6" s="1"/>
  <c r="A10" i="7"/>
  <c r="A9" i="4" s="1"/>
  <c r="B9" i="6" s="1"/>
  <c r="J9" i="6" s="1"/>
  <c r="A9" i="7"/>
  <c r="A8" i="4" s="1"/>
  <c r="B8" i="6" s="1"/>
  <c r="J8" i="6" s="1"/>
  <c r="A8" i="7"/>
  <c r="A7" i="4" s="1"/>
  <c r="B7" i="6" s="1"/>
  <c r="J7" i="6" s="1"/>
  <c r="A7" i="7"/>
  <c r="A6" i="4" s="1"/>
  <c r="B6" i="6" s="1"/>
  <c r="J6" i="6" s="1"/>
  <c r="A6" i="7"/>
  <c r="A5" i="4" s="1"/>
  <c r="B5" i="6" s="1"/>
  <c r="J5" i="6" s="1"/>
  <c r="A5" i="7"/>
  <c r="A4" i="4" s="1"/>
  <c r="B4" i="6" s="1"/>
  <c r="J4" i="6" s="1"/>
  <c r="A4" i="7"/>
  <c r="A3" i="4" s="1"/>
  <c r="B3" i="6" s="1"/>
  <c r="J3" i="6" s="1"/>
  <c r="B2" i="2" l="1"/>
  <c r="B20" i="2"/>
  <c r="B18" i="2"/>
  <c r="B16" i="2"/>
  <c r="B14" i="2"/>
  <c r="B12" i="2"/>
  <c r="B10" i="2"/>
  <c r="B8" i="2"/>
  <c r="B6" i="2"/>
  <c r="B4" i="2"/>
  <c r="B21" i="2"/>
  <c r="B19" i="2"/>
  <c r="B17" i="2"/>
  <c r="B15" i="2"/>
  <c r="B13" i="2"/>
  <c r="B11" i="2"/>
  <c r="B9" i="2"/>
  <c r="B7" i="2"/>
  <c r="B5" i="2"/>
  <c r="B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33" i="1" l="1"/>
  <c r="E19" i="1" l="1"/>
  <c r="C6" i="7" s="1"/>
  <c r="I26" i="1" l="1"/>
  <c r="I25" i="1"/>
  <c r="I24" i="1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3" i="5"/>
  <c r="C34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F19" i="1"/>
  <c r="C32" i="1"/>
  <c r="S13" i="1" l="1"/>
  <c r="T13" i="1" s="1"/>
  <c r="U13" i="1" s="1"/>
  <c r="V13" i="1" s="1"/>
  <c r="R13" i="1"/>
  <c r="G19" i="1"/>
  <c r="C7" i="7"/>
  <c r="H19" i="1" l="1"/>
  <c r="C8" i="7"/>
  <c r="B12" i="1"/>
  <c r="C12" i="1" s="1"/>
  <c r="D12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C35" i="1"/>
  <c r="D15" i="1" l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H24" i="1"/>
  <c r="H25" i="1"/>
  <c r="I19" i="1"/>
  <c r="C9" i="7"/>
  <c r="D16" i="1"/>
  <c r="J19" i="1" l="1"/>
  <c r="C10" i="7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M21" i="6"/>
  <c r="M22" i="6"/>
  <c r="E3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K3" i="6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B3" i="4"/>
  <c r="K19" i="1" l="1"/>
  <c r="C11" i="7"/>
  <c r="E3" i="4"/>
  <c r="G26" i="6"/>
  <c r="E4" i="6"/>
  <c r="M4" i="6" s="1"/>
  <c r="M3" i="6"/>
  <c r="C16" i="1"/>
  <c r="C18" i="1" s="1"/>
  <c r="C20" i="1" s="1"/>
  <c r="B3" i="3" s="1"/>
  <c r="D3" i="3" s="1"/>
  <c r="D9" i="1"/>
  <c r="B4" i="4" s="1"/>
  <c r="E9" i="1"/>
  <c r="B5" i="4" s="1"/>
  <c r="L19" i="1" l="1"/>
  <c r="C12" i="7"/>
  <c r="E16" i="1"/>
  <c r="D5" i="6" s="1"/>
  <c r="L5" i="6" s="1"/>
  <c r="D4" i="6"/>
  <c r="L4" i="6" s="1"/>
  <c r="C4" i="4"/>
  <c r="F4" i="4" s="1"/>
  <c r="D3" i="2"/>
  <c r="B5" i="7" s="1"/>
  <c r="E5" i="7" s="1"/>
  <c r="D2" i="2"/>
  <c r="B4" i="7" s="1"/>
  <c r="C4" i="2"/>
  <c r="D6" i="7" s="1"/>
  <c r="E5" i="4"/>
  <c r="C5" i="6"/>
  <c r="K5" i="6" s="1"/>
  <c r="C4" i="6"/>
  <c r="K4" i="6" s="1"/>
  <c r="E4" i="4"/>
  <c r="D18" i="1"/>
  <c r="D20" i="1" s="1"/>
  <c r="B4" i="3" s="1"/>
  <c r="D4" i="3" s="1"/>
  <c r="C3" i="2"/>
  <c r="D5" i="7" s="1"/>
  <c r="F5" i="7" s="1"/>
  <c r="B3" i="5"/>
  <c r="E2" i="2"/>
  <c r="D3" i="6"/>
  <c r="L3" i="6" s="1"/>
  <c r="C3" i="4"/>
  <c r="F3" i="4" s="1"/>
  <c r="M19" i="1" l="1"/>
  <c r="C13" i="7"/>
  <c r="E4" i="7"/>
  <c r="F4" i="7"/>
  <c r="C5" i="4"/>
  <c r="F5" i="4" s="1"/>
  <c r="F9" i="1"/>
  <c r="C5" i="2" s="1"/>
  <c r="D7" i="7" s="1"/>
  <c r="G9" i="1"/>
  <c r="B15" i="1"/>
  <c r="E18" i="1"/>
  <c r="E20" i="1" s="1"/>
  <c r="B5" i="3" s="1"/>
  <c r="D5" i="3" s="1"/>
  <c r="D4" i="2"/>
  <c r="B6" i="7" s="1"/>
  <c r="E6" i="7" s="1"/>
  <c r="B14" i="1"/>
  <c r="F16" i="1"/>
  <c r="G3" i="5"/>
  <c r="I3" i="5" s="1"/>
  <c r="F3" i="6"/>
  <c r="D3" i="5"/>
  <c r="N19" i="1" l="1"/>
  <c r="C14" i="7"/>
  <c r="F6" i="7"/>
  <c r="B4" i="5"/>
  <c r="G4" i="5" s="1"/>
  <c r="I4" i="5" s="1"/>
  <c r="E3" i="2"/>
  <c r="B6" i="4"/>
  <c r="C6" i="6" s="1"/>
  <c r="K6" i="6" s="1"/>
  <c r="B5" i="5"/>
  <c r="D6" i="6"/>
  <c r="L6" i="6" s="1"/>
  <c r="C6" i="4"/>
  <c r="F6" i="4" s="1"/>
  <c r="D5" i="2"/>
  <c r="B7" i="7" s="1"/>
  <c r="E7" i="7" s="1"/>
  <c r="F18" i="1"/>
  <c r="F20" i="1" s="1"/>
  <c r="B6" i="3" s="1"/>
  <c r="D6" i="3" s="1"/>
  <c r="G16" i="1"/>
  <c r="G18" i="1" s="1"/>
  <c r="G20" i="1" s="1"/>
  <c r="B7" i="3" s="1"/>
  <c r="D7" i="3" s="1"/>
  <c r="B7" i="4"/>
  <c r="C6" i="2"/>
  <c r="D8" i="7" s="1"/>
  <c r="H9" i="1"/>
  <c r="N3" i="6"/>
  <c r="P3" i="6" s="1"/>
  <c r="Q3" i="6" s="1"/>
  <c r="G3" i="6"/>
  <c r="F7" i="7" l="1"/>
  <c r="O19" i="1"/>
  <c r="C15" i="7"/>
  <c r="E6" i="4"/>
  <c r="D4" i="5"/>
  <c r="F4" i="6"/>
  <c r="N4" i="6" s="1"/>
  <c r="P4" i="6" s="1"/>
  <c r="Q4" i="6" s="1"/>
  <c r="E4" i="2"/>
  <c r="F5" i="6"/>
  <c r="N5" i="6" s="1"/>
  <c r="P5" i="6" s="1"/>
  <c r="Q5" i="6" s="1"/>
  <c r="D5" i="5"/>
  <c r="G5" i="5"/>
  <c r="I5" i="5" s="1"/>
  <c r="B8" i="1"/>
  <c r="B9" i="1" s="1"/>
  <c r="H16" i="1"/>
  <c r="D7" i="6"/>
  <c r="L7" i="6" s="1"/>
  <c r="C7" i="4"/>
  <c r="F7" i="4" s="1"/>
  <c r="D6" i="2"/>
  <c r="B8" i="7" s="1"/>
  <c r="E8" i="7" s="1"/>
  <c r="C7" i="2"/>
  <c r="D9" i="7" s="1"/>
  <c r="B8" i="4"/>
  <c r="I9" i="1"/>
  <c r="E7" i="4"/>
  <c r="C7" i="6"/>
  <c r="K7" i="6" s="1"/>
  <c r="P19" i="1" l="1"/>
  <c r="C16" i="7"/>
  <c r="F8" i="7"/>
  <c r="G4" i="6"/>
  <c r="G27" i="6" s="1"/>
  <c r="G5" i="6"/>
  <c r="G28" i="6" s="1"/>
  <c r="B7" i="5"/>
  <c r="D7" i="5" s="1"/>
  <c r="E6" i="2"/>
  <c r="B6" i="5"/>
  <c r="G6" i="5" s="1"/>
  <c r="I6" i="5" s="1"/>
  <c r="E5" i="2"/>
  <c r="D8" i="6"/>
  <c r="L8" i="6" s="1"/>
  <c r="C8" i="4"/>
  <c r="F8" i="4" s="1"/>
  <c r="D7" i="2"/>
  <c r="B9" i="7" s="1"/>
  <c r="E9" i="7" s="1"/>
  <c r="H18" i="1"/>
  <c r="H20" i="1" s="1"/>
  <c r="B8" i="3" s="1"/>
  <c r="D8" i="3" s="1"/>
  <c r="I16" i="1"/>
  <c r="E8" i="4"/>
  <c r="C8" i="6"/>
  <c r="K8" i="6" s="1"/>
  <c r="C8" i="2"/>
  <c r="D10" i="7" s="1"/>
  <c r="B9" i="4"/>
  <c r="J9" i="1"/>
  <c r="F9" i="7" l="1"/>
  <c r="Q19" i="1"/>
  <c r="C17" i="7"/>
  <c r="G29" i="6"/>
  <c r="G7" i="5"/>
  <c r="I7" i="5" s="1"/>
  <c r="F7" i="6"/>
  <c r="N7" i="6" s="1"/>
  <c r="P7" i="6" s="1"/>
  <c r="Q7" i="6" s="1"/>
  <c r="D6" i="5"/>
  <c r="F6" i="6"/>
  <c r="D9" i="6"/>
  <c r="L9" i="6" s="1"/>
  <c r="C9" i="4"/>
  <c r="F9" i="4" s="1"/>
  <c r="D8" i="2"/>
  <c r="B10" i="7" s="1"/>
  <c r="E10" i="7" s="1"/>
  <c r="I18" i="1"/>
  <c r="I20" i="1" s="1"/>
  <c r="B9" i="3" s="1"/>
  <c r="D9" i="3" s="1"/>
  <c r="J16" i="1"/>
  <c r="J18" i="1" s="1"/>
  <c r="J20" i="1" s="1"/>
  <c r="B10" i="3" s="1"/>
  <c r="D10" i="3" s="1"/>
  <c r="C9" i="2"/>
  <c r="D11" i="7" s="1"/>
  <c r="B10" i="4"/>
  <c r="K9" i="1"/>
  <c r="E9" i="4"/>
  <c r="C9" i="6"/>
  <c r="K9" i="6" s="1"/>
  <c r="F10" i="7" l="1"/>
  <c r="R19" i="1"/>
  <c r="C18" i="7"/>
  <c r="G7" i="6"/>
  <c r="E7" i="2"/>
  <c r="B8" i="5"/>
  <c r="D8" i="5" s="1"/>
  <c r="G6" i="6"/>
  <c r="N6" i="6"/>
  <c r="P6" i="6" s="1"/>
  <c r="Q6" i="6" s="1"/>
  <c r="D10" i="6"/>
  <c r="L10" i="6" s="1"/>
  <c r="C10" i="4"/>
  <c r="F10" i="4" s="1"/>
  <c r="D9" i="2"/>
  <c r="B11" i="7" s="1"/>
  <c r="E11" i="7" s="1"/>
  <c r="K16" i="1"/>
  <c r="K18" i="1" s="1"/>
  <c r="K20" i="1" s="1"/>
  <c r="B11" i="3" s="1"/>
  <c r="D11" i="3" s="1"/>
  <c r="L9" i="1"/>
  <c r="E10" i="4"/>
  <c r="C10" i="6"/>
  <c r="K10" i="6" s="1"/>
  <c r="C10" i="2"/>
  <c r="D12" i="7" s="1"/>
  <c r="B11" i="4"/>
  <c r="S19" i="1" l="1"/>
  <c r="C19" i="7"/>
  <c r="F11" i="7"/>
  <c r="G8" i="5"/>
  <c r="I8" i="5" s="1"/>
  <c r="F8" i="6"/>
  <c r="B9" i="5"/>
  <c r="G9" i="5" s="1"/>
  <c r="I9" i="5" s="1"/>
  <c r="E8" i="2"/>
  <c r="E9" i="2"/>
  <c r="B10" i="5"/>
  <c r="F10" i="6" s="1"/>
  <c r="D9" i="5"/>
  <c r="L16" i="1"/>
  <c r="L18" i="1" s="1"/>
  <c r="L20" i="1" s="1"/>
  <c r="B12" i="3" s="1"/>
  <c r="D12" i="3" s="1"/>
  <c r="D11" i="6"/>
  <c r="L11" i="6" s="1"/>
  <c r="C11" i="4"/>
  <c r="F11" i="4" s="1"/>
  <c r="D10" i="2"/>
  <c r="B12" i="7" s="1"/>
  <c r="E12" i="7" s="1"/>
  <c r="B12" i="4"/>
  <c r="C11" i="2"/>
  <c r="D13" i="7" s="1"/>
  <c r="E11" i="4"/>
  <c r="C11" i="6"/>
  <c r="K11" i="6" s="1"/>
  <c r="M9" i="1"/>
  <c r="T19" i="1" l="1"/>
  <c r="C20" i="7"/>
  <c r="F13" i="7"/>
  <c r="F12" i="7"/>
  <c r="D10" i="5"/>
  <c r="F9" i="6"/>
  <c r="G8" i="6"/>
  <c r="N8" i="6"/>
  <c r="P8" i="6" s="1"/>
  <c r="Q8" i="6" s="1"/>
  <c r="G10" i="5"/>
  <c r="I10" i="5" s="1"/>
  <c r="B11" i="5"/>
  <c r="D11" i="5" s="1"/>
  <c r="E10" i="2"/>
  <c r="D12" i="6"/>
  <c r="L12" i="6" s="1"/>
  <c r="C12" i="4"/>
  <c r="F12" i="4" s="1"/>
  <c r="D11" i="2"/>
  <c r="B13" i="7" s="1"/>
  <c r="E13" i="7" s="1"/>
  <c r="M16" i="1"/>
  <c r="M18" i="1" s="1"/>
  <c r="M20" i="1" s="1"/>
  <c r="B13" i="3" s="1"/>
  <c r="D13" i="3" s="1"/>
  <c r="N9" i="1"/>
  <c r="G10" i="6"/>
  <c r="N10" i="6"/>
  <c r="P10" i="6" s="1"/>
  <c r="Q10" i="6" s="1"/>
  <c r="C12" i="2"/>
  <c r="D14" i="7" s="1"/>
  <c r="B13" i="4"/>
  <c r="E12" i="4"/>
  <c r="C12" i="6"/>
  <c r="K12" i="6" s="1"/>
  <c r="U19" i="1" l="1"/>
  <c r="C21" i="7"/>
  <c r="G11" i="5"/>
  <c r="I11" i="5" s="1"/>
  <c r="F11" i="6"/>
  <c r="N11" i="6" s="1"/>
  <c r="P11" i="6" s="1"/>
  <c r="Q11" i="6" s="1"/>
  <c r="B12" i="5"/>
  <c r="F12" i="6" s="1"/>
  <c r="G9" i="6"/>
  <c r="N9" i="6"/>
  <c r="P9" i="6" s="1"/>
  <c r="Q9" i="6" s="1"/>
  <c r="E11" i="2"/>
  <c r="N16" i="1"/>
  <c r="N18" i="1" s="1"/>
  <c r="N20" i="1" s="1"/>
  <c r="B14" i="3" s="1"/>
  <c r="D14" i="3" s="1"/>
  <c r="D13" i="6"/>
  <c r="L13" i="6" s="1"/>
  <c r="C13" i="4"/>
  <c r="F13" i="4" s="1"/>
  <c r="D12" i="2"/>
  <c r="B14" i="7" s="1"/>
  <c r="E14" i="7" s="1"/>
  <c r="C13" i="6"/>
  <c r="K13" i="6" s="1"/>
  <c r="E13" i="4"/>
  <c r="C13" i="2"/>
  <c r="D15" i="7" s="1"/>
  <c r="B14" i="4"/>
  <c r="O9" i="1"/>
  <c r="V19" i="1" l="1"/>
  <c r="C23" i="7" s="1"/>
  <c r="C22" i="7"/>
  <c r="F14" i="7"/>
  <c r="G11" i="6"/>
  <c r="D12" i="5"/>
  <c r="G12" i="5"/>
  <c r="I12" i="5" s="1"/>
  <c r="E12" i="2"/>
  <c r="B13" i="5"/>
  <c r="D13" i="5" s="1"/>
  <c r="O16" i="1"/>
  <c r="D14" i="6"/>
  <c r="L14" i="6" s="1"/>
  <c r="C14" i="4"/>
  <c r="F14" i="4" s="1"/>
  <c r="D13" i="2"/>
  <c r="B15" i="7" s="1"/>
  <c r="E15" i="7" s="1"/>
  <c r="C14" i="2"/>
  <c r="D16" i="7" s="1"/>
  <c r="B15" i="4"/>
  <c r="O18" i="1"/>
  <c r="O20" i="1" s="1"/>
  <c r="B15" i="3" s="1"/>
  <c r="D15" i="3" s="1"/>
  <c r="C14" i="6"/>
  <c r="K14" i="6" s="1"/>
  <c r="E14" i="4"/>
  <c r="N12" i="6"/>
  <c r="P12" i="6" s="1"/>
  <c r="Q12" i="6" s="1"/>
  <c r="G12" i="6"/>
  <c r="P9" i="1"/>
  <c r="F15" i="7" l="1"/>
  <c r="F16" i="7"/>
  <c r="G13" i="5"/>
  <c r="I13" i="5" s="1"/>
  <c r="F13" i="6"/>
  <c r="N13" i="6" s="1"/>
  <c r="P13" i="6" s="1"/>
  <c r="Q13" i="6" s="1"/>
  <c r="B14" i="5"/>
  <c r="D14" i="5" s="1"/>
  <c r="E13" i="2"/>
  <c r="D15" i="6"/>
  <c r="L15" i="6" s="1"/>
  <c r="C15" i="4"/>
  <c r="F15" i="4" s="1"/>
  <c r="D14" i="2"/>
  <c r="B16" i="7" s="1"/>
  <c r="E16" i="7" s="1"/>
  <c r="P16" i="1"/>
  <c r="Q9" i="1"/>
  <c r="E15" i="4"/>
  <c r="C15" i="6"/>
  <c r="K15" i="6" s="1"/>
  <c r="B16" i="4"/>
  <c r="C15" i="2"/>
  <c r="D17" i="7" s="1"/>
  <c r="G13" i="6" l="1"/>
  <c r="F14" i="6"/>
  <c r="N14" i="6" s="1"/>
  <c r="P14" i="6" s="1"/>
  <c r="Q14" i="6" s="1"/>
  <c r="G14" i="5"/>
  <c r="I14" i="5" s="1"/>
  <c r="E14" i="2"/>
  <c r="B15" i="5"/>
  <c r="F15" i="6" s="1"/>
  <c r="D16" i="6"/>
  <c r="L16" i="6" s="1"/>
  <c r="C16" i="4"/>
  <c r="F16" i="4" s="1"/>
  <c r="D15" i="2"/>
  <c r="B17" i="7" s="1"/>
  <c r="E17" i="7" s="1"/>
  <c r="P18" i="1"/>
  <c r="P20" i="1" s="1"/>
  <c r="B16" i="3" s="1"/>
  <c r="D16" i="3" s="1"/>
  <c r="Q16" i="1"/>
  <c r="C16" i="6"/>
  <c r="K16" i="6" s="1"/>
  <c r="E16" i="4"/>
  <c r="R9" i="1"/>
  <c r="G14" i="6"/>
  <c r="C16" i="2"/>
  <c r="D18" i="7" s="1"/>
  <c r="B17" i="4"/>
  <c r="F17" i="7" l="1"/>
  <c r="F18" i="7"/>
  <c r="D15" i="5"/>
  <c r="G15" i="5"/>
  <c r="I15" i="5" s="1"/>
  <c r="D17" i="6"/>
  <c r="L17" i="6" s="1"/>
  <c r="C17" i="4"/>
  <c r="F17" i="4" s="1"/>
  <c r="D16" i="2"/>
  <c r="B18" i="7" s="1"/>
  <c r="E18" i="7" s="1"/>
  <c r="Q18" i="1"/>
  <c r="Q20" i="1" s="1"/>
  <c r="B17" i="3" s="1"/>
  <c r="D17" i="3" s="1"/>
  <c r="R16" i="1"/>
  <c r="E17" i="4"/>
  <c r="C17" i="6"/>
  <c r="K17" i="6" s="1"/>
  <c r="C17" i="2"/>
  <c r="D19" i="7" s="1"/>
  <c r="B18" i="4"/>
  <c r="G15" i="6"/>
  <c r="N15" i="6"/>
  <c r="P15" i="6" s="1"/>
  <c r="Q15" i="6" s="1"/>
  <c r="S9" i="1"/>
  <c r="F19" i="7" l="1"/>
  <c r="B16" i="5"/>
  <c r="E15" i="2"/>
  <c r="D18" i="6"/>
  <c r="L18" i="6" s="1"/>
  <c r="C18" i="4"/>
  <c r="F18" i="4" s="1"/>
  <c r="D17" i="2"/>
  <c r="B19" i="7" s="1"/>
  <c r="E19" i="7" s="1"/>
  <c r="R18" i="1"/>
  <c r="R20" i="1" s="1"/>
  <c r="B18" i="3" s="1"/>
  <c r="D18" i="3" s="1"/>
  <c r="S16" i="1"/>
  <c r="S18" i="1" s="1"/>
  <c r="S20" i="1" s="1"/>
  <c r="B19" i="3" s="1"/>
  <c r="D19" i="3" s="1"/>
  <c r="T9" i="1"/>
  <c r="C18" i="6"/>
  <c r="K18" i="6" s="1"/>
  <c r="E18" i="4"/>
  <c r="C18" i="2"/>
  <c r="D20" i="7" s="1"/>
  <c r="B19" i="4"/>
  <c r="E16" i="2" l="1"/>
  <c r="B17" i="5"/>
  <c r="G17" i="5" s="1"/>
  <c r="I17" i="5" s="1"/>
  <c r="G16" i="5"/>
  <c r="I16" i="5" s="1"/>
  <c r="D16" i="5"/>
  <c r="F16" i="6"/>
  <c r="F17" i="6"/>
  <c r="G17" i="6" s="1"/>
  <c r="D19" i="6"/>
  <c r="L19" i="6" s="1"/>
  <c r="C19" i="4"/>
  <c r="F19" i="4" s="1"/>
  <c r="D18" i="2"/>
  <c r="B20" i="7" s="1"/>
  <c r="E20" i="7" s="1"/>
  <c r="T16" i="1"/>
  <c r="B13" i="1"/>
  <c r="C19" i="6"/>
  <c r="K19" i="6" s="1"/>
  <c r="E19" i="4"/>
  <c r="U9" i="1"/>
  <c r="B20" i="4"/>
  <c r="C19" i="2"/>
  <c r="D21" i="7" s="1"/>
  <c r="F20" i="7" l="1"/>
  <c r="B19" i="5"/>
  <c r="D19" i="5" s="1"/>
  <c r="D17" i="5"/>
  <c r="B18" i="5"/>
  <c r="F18" i="6" s="1"/>
  <c r="N18" i="6" s="1"/>
  <c r="P18" i="6" s="1"/>
  <c r="Q18" i="6" s="1"/>
  <c r="E17" i="2"/>
  <c r="E18" i="2"/>
  <c r="G16" i="6"/>
  <c r="N16" i="6"/>
  <c r="P16" i="6" s="1"/>
  <c r="Q16" i="6" s="1"/>
  <c r="N17" i="6"/>
  <c r="P17" i="6" s="1"/>
  <c r="Q17" i="6" s="1"/>
  <c r="D20" i="6"/>
  <c r="L20" i="6" s="1"/>
  <c r="C20" i="4"/>
  <c r="F20" i="4" s="1"/>
  <c r="D19" i="2"/>
  <c r="B21" i="7" s="1"/>
  <c r="E21" i="7" s="1"/>
  <c r="T18" i="1"/>
  <c r="T20" i="1" s="1"/>
  <c r="B20" i="3" s="1"/>
  <c r="D20" i="3" s="1"/>
  <c r="U16" i="1"/>
  <c r="U18" i="1" s="1"/>
  <c r="U20" i="1" s="1"/>
  <c r="B21" i="3" s="1"/>
  <c r="D21" i="3" s="1"/>
  <c r="V16" i="1"/>
  <c r="C20" i="6"/>
  <c r="K20" i="6" s="1"/>
  <c r="E20" i="4"/>
  <c r="V9" i="1"/>
  <c r="B21" i="4"/>
  <c r="C20" i="2"/>
  <c r="D22" i="7" s="1"/>
  <c r="F21" i="7" l="1"/>
  <c r="G18" i="6"/>
  <c r="F19" i="6"/>
  <c r="N19" i="6" s="1"/>
  <c r="P19" i="6" s="1"/>
  <c r="Q19" i="6" s="1"/>
  <c r="G18" i="5"/>
  <c r="I18" i="5" s="1"/>
  <c r="G19" i="5"/>
  <c r="I19" i="5" s="1"/>
  <c r="D18" i="5"/>
  <c r="D22" i="6"/>
  <c r="L22" i="6" s="1"/>
  <c r="C22" i="4"/>
  <c r="F22" i="4" s="1"/>
  <c r="D21" i="2"/>
  <c r="B23" i="7" s="1"/>
  <c r="E23" i="7" s="1"/>
  <c r="B16" i="1"/>
  <c r="B18" i="1" s="1"/>
  <c r="D21" i="6"/>
  <c r="L21" i="6" s="1"/>
  <c r="C21" i="4"/>
  <c r="F21" i="4" s="1"/>
  <c r="D20" i="2"/>
  <c r="B22" i="7" s="1"/>
  <c r="E22" i="7" s="1"/>
  <c r="E21" i="4"/>
  <c r="C21" i="6"/>
  <c r="K21" i="6" s="1"/>
  <c r="B22" i="4"/>
  <c r="V18" i="1"/>
  <c r="V20" i="1" s="1"/>
  <c r="B22" i="3" s="1"/>
  <c r="D22" i="3" s="1"/>
  <c r="C21" i="2"/>
  <c r="D23" i="7" s="1"/>
  <c r="F23" i="7" l="1"/>
  <c r="F22" i="7"/>
  <c r="G19" i="6"/>
  <c r="B21" i="5"/>
  <c r="F21" i="6" s="1"/>
  <c r="E20" i="2"/>
  <c r="E19" i="2"/>
  <c r="B20" i="5"/>
  <c r="F23" i="4"/>
  <c r="E22" i="4"/>
  <c r="E23" i="4" s="1"/>
  <c r="C22" i="6"/>
  <c r="K22" i="6" s="1"/>
  <c r="D21" i="5" l="1"/>
  <c r="G21" i="5"/>
  <c r="I21" i="5" s="1"/>
  <c r="E21" i="2"/>
  <c r="B22" i="5"/>
  <c r="F22" i="6" s="1"/>
  <c r="D23" i="3"/>
  <c r="G20" i="5"/>
  <c r="I20" i="5" s="1"/>
  <c r="I23" i="5" s="1"/>
  <c r="L9" i="5" s="1"/>
  <c r="D20" i="5"/>
  <c r="F20" i="6"/>
  <c r="F24" i="4"/>
  <c r="N21" i="6"/>
  <c r="P21" i="6" s="1"/>
  <c r="Q21" i="6" s="1"/>
  <c r="G21" i="6"/>
  <c r="D22" i="5"/>
  <c r="G22" i="5" l="1"/>
  <c r="I22" i="5" s="1"/>
  <c r="D23" i="5"/>
  <c r="L8" i="5" s="1"/>
  <c r="L10" i="5" s="1"/>
  <c r="G20" i="6"/>
  <c r="N20" i="6"/>
  <c r="P20" i="6" s="1"/>
  <c r="Q20" i="6" s="1"/>
  <c r="G22" i="6"/>
  <c r="N22" i="6"/>
  <c r="P22" i="6" s="1"/>
  <c r="Q22" i="6" s="1"/>
</calcChain>
</file>

<file path=xl/sharedStrings.xml><?xml version="1.0" encoding="utf-8"?>
<sst xmlns="http://schemas.openxmlformats.org/spreadsheetml/2006/main" count="121" uniqueCount="83">
  <si>
    <t>Keterangan</t>
  </si>
  <si>
    <t>Jumlah</t>
  </si>
  <si>
    <t>Tahun Operasional</t>
  </si>
  <si>
    <t>PENDAPATAN</t>
  </si>
  <si>
    <t>Jumlah Pendapatan</t>
  </si>
  <si>
    <t>BIAYA</t>
  </si>
  <si>
    <t>. Biaya Investasi</t>
  </si>
  <si>
    <t>. Biaya Operasional</t>
  </si>
  <si>
    <t>. Biaya Pemasaran</t>
  </si>
  <si>
    <t>. Biaya distribusi</t>
  </si>
  <si>
    <t>Jumlah Biaya</t>
  </si>
  <si>
    <t>Pendapatan</t>
  </si>
  <si>
    <t>Pendapatan Bersih</t>
  </si>
  <si>
    <t>No</t>
  </si>
  <si>
    <t>Tahun</t>
  </si>
  <si>
    <t>Biaya</t>
  </si>
  <si>
    <t>Tabel Nilai NPV Kondisi Normal</t>
  </si>
  <si>
    <t>Diskon Faktor</t>
  </si>
  <si>
    <t>NPV</t>
  </si>
  <si>
    <t xml:space="preserve">Total </t>
  </si>
  <si>
    <t>BCR Normal</t>
  </si>
  <si>
    <t>Manfaat</t>
  </si>
  <si>
    <t>B/C</t>
  </si>
  <si>
    <t xml:space="preserve">Tabel Nilai NPV normal </t>
  </si>
  <si>
    <t>Periode</t>
  </si>
  <si>
    <t>Total Pendapatan</t>
  </si>
  <si>
    <t>Total Cashflow</t>
  </si>
  <si>
    <t>Cashflow Kumulatif</t>
  </si>
  <si>
    <t>Total Laba / Rugi</t>
  </si>
  <si>
    <t>Operasional</t>
  </si>
  <si>
    <t>Investasi</t>
  </si>
  <si>
    <t xml:space="preserve"> </t>
  </si>
  <si>
    <t>Camping Ground</t>
  </si>
  <si>
    <t>Slepping bag (30)</t>
  </si>
  <si>
    <t>Lampu Baterai (30)</t>
  </si>
  <si>
    <t>Sound system (2)</t>
  </si>
  <si>
    <t>Total</t>
  </si>
  <si>
    <t>Pemasaran</t>
  </si>
  <si>
    <t>Distribusi</t>
  </si>
  <si>
    <t xml:space="preserve">Tenda (30 unit) </t>
  </si>
  <si>
    <t>Pemasukan</t>
  </si>
  <si>
    <t>Harga satuan</t>
  </si>
  <si>
    <t>Estimasi pengunjung/hari (orang)</t>
  </si>
  <si>
    <t>Estimasi pendapatan /tahun</t>
  </si>
  <si>
    <t xml:space="preserve">Tiket </t>
  </si>
  <si>
    <t>Paket PLTA (15)</t>
  </si>
  <si>
    <t>Paket PLTS (5)</t>
  </si>
  <si>
    <t>buka 96 hari 2 kali dalam seminggu (weekend)</t>
  </si>
  <si>
    <t>Kompor, gas, nesting (30)</t>
  </si>
  <si>
    <t>Matras (50 unit)</t>
  </si>
  <si>
    <t>Buka 4 hari kamis-minggu untuk menyambut weekend</t>
  </si>
  <si>
    <t>Pengeluaran tak terduga</t>
  </si>
  <si>
    <t>Buka 20 hari dalam 1 bulan</t>
  </si>
  <si>
    <t>Perlengkapan/alat sadap getah pinus (pisau deres, mangkok sadap getah, kawat/ring pengikat mangkok, talang sadap)</t>
  </si>
  <si>
    <t>I1</t>
  </si>
  <si>
    <t>I2</t>
  </si>
  <si>
    <t>NPV1</t>
  </si>
  <si>
    <t>NPV2</t>
  </si>
  <si>
    <t>IRR</t>
  </si>
  <si>
    <t>a</t>
  </si>
  <si>
    <t>b</t>
  </si>
  <si>
    <t>n</t>
  </si>
  <si>
    <t>c</t>
  </si>
  <si>
    <t>PP</t>
  </si>
  <si>
    <t>Cashflow</t>
  </si>
  <si>
    <t>Jumlah Hari Beroperasi dalam 1 tahun</t>
  </si>
  <si>
    <t>Wana Wisata winong</t>
  </si>
  <si>
    <t xml:space="preserve">Pendapatan </t>
  </si>
  <si>
    <r>
      <t xml:space="preserve">Total </t>
    </r>
    <r>
      <rPr>
        <b/>
        <i/>
        <sz val="11"/>
        <color theme="1"/>
        <rFont val="Times New Roman"/>
        <family val="1"/>
      </rPr>
      <t>Cashflow</t>
    </r>
  </si>
  <si>
    <t>Asumsi Pendapatkan diharapkan meningkat 5,02%% per tahun</t>
  </si>
  <si>
    <t>Asumsi Biaya meningkat 2,64% per tahun (karena inflasi)</t>
  </si>
  <si>
    <t>biaya takterduga meningkat 5%</t>
  </si>
  <si>
    <t xml:space="preserve">Biaya tetap </t>
  </si>
  <si>
    <t>Biaya Variabel</t>
  </si>
  <si>
    <t>Total Biaya</t>
  </si>
  <si>
    <t>BEP</t>
  </si>
  <si>
    <t>Estimasi pengunjung/tahun (orang)</t>
  </si>
  <si>
    <t xml:space="preserve">Camping Ground dan Tiket </t>
  </si>
  <si>
    <t xml:space="preserve">edukasi sadap getah Pinus dan Tiket </t>
  </si>
  <si>
    <t xml:space="preserve">edukasi kelistrikan (PLTA&amp;PLTS) dan Tiket </t>
  </si>
  <si>
    <t xml:space="preserve">BEP edukasi sadap getah+tiket </t>
  </si>
  <si>
    <t xml:space="preserve">BEP edukasi kelistrikan+tiket </t>
  </si>
  <si>
    <t>BEP camping ground &amp; tiket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</si>
</sst>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0" fillId="0" borderId="0" xfId="0" applyBorder="1"/>
    <xf numFmtId="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3" fontId="1" fillId="2" borderId="3" xfId="0" applyNumberFormat="1" applyFont="1" applyFill="1" applyBorder="1"/>
    <xf numFmtId="3" fontId="2" fillId="2" borderId="3" xfId="0" applyNumberFormat="1" applyFont="1" applyFill="1" applyBorder="1"/>
    <xf numFmtId="0" fontId="2" fillId="2" borderId="1" xfId="0" applyFont="1" applyFill="1" applyBorder="1" applyAlignment="1">
      <alignment vertical="center"/>
    </xf>
    <xf numFmtId="3" fontId="2" fillId="0" borderId="1" xfId="0" applyNumberFormat="1" applyFont="1" applyBorder="1"/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3" fontId="8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166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9" fontId="0" fillId="0" borderId="0" xfId="0" applyNumberFormat="1"/>
    <xf numFmtId="166" fontId="9" fillId="0" borderId="13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3" fillId="0" borderId="0" xfId="0" applyFont="1"/>
    <xf numFmtId="0" fontId="5" fillId="2" borderId="12" xfId="0" applyFont="1" applyFill="1" applyBorder="1" applyAlignment="1">
      <alignment horizontal="center"/>
    </xf>
    <xf numFmtId="3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11" fillId="0" borderId="14" xfId="0" applyFont="1" applyBorder="1" applyAlignment="1">
      <alignment horizontal="center" vertical="center"/>
    </xf>
    <xf numFmtId="1" fontId="12" fillId="0" borderId="0" xfId="0" applyNumberFormat="1" applyFont="1"/>
    <xf numFmtId="3" fontId="0" fillId="0" borderId="0" xfId="0" applyNumberFormat="1" applyAlignment="1">
      <alignment vertical="center"/>
    </xf>
    <xf numFmtId="0" fontId="3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analisis%20finansial%20bukit%20kopire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as"/>
      <sheetName val="Pendapatan biaya chasflow"/>
      <sheetName val="BEP"/>
      <sheetName val="NPV"/>
      <sheetName val="BCR"/>
      <sheetName val="IRR"/>
      <sheetName val="Payback Period"/>
    </sheetNames>
    <sheetDataSet>
      <sheetData sheetId="0"/>
      <sheetData sheetId="1">
        <row r="2">
          <cell r="B2">
            <v>2022</v>
          </cell>
        </row>
        <row r="3">
          <cell r="B3">
            <v>2023</v>
          </cell>
        </row>
        <row r="4">
          <cell r="B4">
            <v>2024</v>
          </cell>
        </row>
        <row r="5">
          <cell r="B5">
            <v>2025</v>
          </cell>
        </row>
        <row r="6">
          <cell r="B6">
            <v>2026</v>
          </cell>
        </row>
        <row r="7">
          <cell r="B7">
            <v>2027</v>
          </cell>
        </row>
        <row r="8">
          <cell r="B8">
            <v>2028</v>
          </cell>
        </row>
        <row r="9">
          <cell r="B9">
            <v>2029</v>
          </cell>
        </row>
        <row r="10">
          <cell r="B10">
            <v>2030</v>
          </cell>
        </row>
        <row r="11">
          <cell r="B11">
            <v>2031</v>
          </cell>
        </row>
        <row r="12">
          <cell r="B12">
            <v>2032</v>
          </cell>
        </row>
        <row r="13">
          <cell r="B13">
            <v>2033</v>
          </cell>
        </row>
        <row r="14">
          <cell r="B14">
            <v>2034</v>
          </cell>
        </row>
        <row r="15">
          <cell r="B15">
            <v>2035</v>
          </cell>
        </row>
        <row r="16">
          <cell r="B16">
            <v>2036</v>
          </cell>
        </row>
        <row r="17">
          <cell r="B17">
            <v>2037</v>
          </cell>
        </row>
        <row r="18">
          <cell r="B18">
            <v>2038</v>
          </cell>
        </row>
        <row r="19">
          <cell r="B19">
            <v>2039</v>
          </cell>
        </row>
        <row r="20">
          <cell r="B20">
            <v>2040</v>
          </cell>
        </row>
        <row r="21">
          <cell r="B21">
            <v>2041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9965-4191-47D0-8DC7-D5348CC529D3}">
  <dimension ref="A1:V35"/>
  <sheetViews>
    <sheetView topLeftCell="A7" zoomScale="85" zoomScaleNormal="85" workbookViewId="0">
      <selection activeCell="D29" sqref="D29"/>
    </sheetView>
  </sheetViews>
  <sheetFormatPr defaultRowHeight="15" x14ac:dyDescent="0.25"/>
  <cols>
    <col min="1" max="1" width="20.42578125" customWidth="1"/>
    <col min="2" max="2" width="19.85546875" customWidth="1"/>
    <col min="3" max="3" width="18.28515625" customWidth="1"/>
    <col min="4" max="4" width="16.5703125" customWidth="1"/>
    <col min="5" max="5" width="17.85546875" customWidth="1"/>
    <col min="6" max="6" width="27.42578125" customWidth="1"/>
    <col min="7" max="8" width="12.42578125" customWidth="1"/>
    <col min="9" max="9" width="16.85546875" customWidth="1"/>
    <col min="10" max="10" width="13.7109375" customWidth="1"/>
    <col min="11" max="11" width="16.85546875" customWidth="1"/>
    <col min="12" max="12" width="12.42578125" customWidth="1"/>
    <col min="13" max="13" width="12" customWidth="1"/>
    <col min="14" max="14" width="12.85546875" customWidth="1"/>
    <col min="15" max="15" width="12.7109375" customWidth="1"/>
    <col min="16" max="16" width="12.5703125" customWidth="1"/>
    <col min="17" max="17" width="12.140625" customWidth="1"/>
    <col min="18" max="18" width="12.5703125" customWidth="1"/>
    <col min="19" max="19" width="12.28515625" customWidth="1"/>
    <col min="20" max="20" width="12" customWidth="1"/>
    <col min="21" max="21" width="13.42578125" customWidth="1"/>
    <col min="22" max="22" width="13.140625" customWidth="1"/>
  </cols>
  <sheetData>
    <row r="1" spans="1:22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x14ac:dyDescent="0.25">
      <c r="A2" s="2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x14ac:dyDescent="0.25">
      <c r="A3" s="2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x14ac:dyDescent="0.25">
      <c r="A4" t="s">
        <v>71</v>
      </c>
      <c r="C4" t="s">
        <v>31</v>
      </c>
      <c r="U4" s="7"/>
    </row>
    <row r="5" spans="1:22" x14ac:dyDescent="0.25">
      <c r="A5" s="80" t="s">
        <v>0</v>
      </c>
      <c r="B5" s="80" t="s">
        <v>1</v>
      </c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1"/>
    </row>
    <row r="6" spans="1:22" x14ac:dyDescent="0.25">
      <c r="A6" s="80"/>
      <c r="B6" s="80"/>
      <c r="C6" s="3">
        <v>2022</v>
      </c>
      <c r="D6" s="3">
        <v>2023</v>
      </c>
      <c r="E6" s="3">
        <v>2024</v>
      </c>
      <c r="F6" s="3">
        <v>2025</v>
      </c>
      <c r="G6" s="3">
        <v>2026</v>
      </c>
      <c r="H6" s="3">
        <v>2027</v>
      </c>
      <c r="I6" s="3">
        <v>2028</v>
      </c>
      <c r="J6" s="3">
        <v>2029</v>
      </c>
      <c r="K6" s="3">
        <v>2030</v>
      </c>
      <c r="L6" s="3">
        <v>2031</v>
      </c>
      <c r="M6" s="3">
        <v>2032</v>
      </c>
      <c r="N6" s="3">
        <v>2033</v>
      </c>
      <c r="O6" s="3">
        <v>2034</v>
      </c>
      <c r="P6" s="3">
        <v>2035</v>
      </c>
      <c r="Q6" s="3">
        <v>2036</v>
      </c>
      <c r="R6" s="3">
        <v>2037</v>
      </c>
      <c r="S6" s="3">
        <v>2038</v>
      </c>
      <c r="T6" s="15">
        <v>2039</v>
      </c>
      <c r="U6" s="9">
        <v>2040</v>
      </c>
      <c r="V6" s="9">
        <v>2041</v>
      </c>
    </row>
    <row r="7" spans="1:22" x14ac:dyDescent="0.25">
      <c r="A7" s="4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6"/>
      <c r="U7" s="19"/>
      <c r="V7" s="12"/>
    </row>
    <row r="8" spans="1:22" s="1" customFormat="1" x14ac:dyDescent="0.25">
      <c r="A8" s="5" t="s">
        <v>66</v>
      </c>
      <c r="B8" s="10">
        <f t="shared" ref="B8" si="0">SUM(C8:V8)</f>
        <v>2136377542.5975661</v>
      </c>
      <c r="C8" s="10">
        <v>0</v>
      </c>
      <c r="D8" s="10">
        <f>K27</f>
        <v>69816666.666666672</v>
      </c>
      <c r="E8" s="10">
        <f>((D8*0.0502)+D8)</f>
        <v>73321463.333333343</v>
      </c>
      <c r="F8" s="10">
        <f t="shared" ref="F8:V8" si="1">((E8*0.0502)+E8)</f>
        <v>77002200.792666674</v>
      </c>
      <c r="G8" s="10">
        <f t="shared" si="1"/>
        <v>80867711.272458538</v>
      </c>
      <c r="H8" s="10">
        <f t="shared" si="1"/>
        <v>84927270.378335953</v>
      </c>
      <c r="I8" s="10">
        <f t="shared" si="1"/>
        <v>89190619.351328418</v>
      </c>
      <c r="J8" s="10">
        <f t="shared" si="1"/>
        <v>93667988.442765102</v>
      </c>
      <c r="K8" s="10">
        <f t="shared" si="1"/>
        <v>98370121.462591916</v>
      </c>
      <c r="L8" s="10">
        <f t="shared" si="1"/>
        <v>103308301.56001402</v>
      </c>
      <c r="M8" s="10">
        <f t="shared" si="1"/>
        <v>108494378.29832673</v>
      </c>
      <c r="N8" s="10">
        <f t="shared" si="1"/>
        <v>113940796.08890273</v>
      </c>
      <c r="O8" s="10">
        <f t="shared" si="1"/>
        <v>119660624.05256565</v>
      </c>
      <c r="P8" s="10">
        <f t="shared" si="1"/>
        <v>125667587.38000445</v>
      </c>
      <c r="Q8" s="10">
        <f t="shared" si="1"/>
        <v>131976100.26648067</v>
      </c>
      <c r="R8" s="10">
        <f t="shared" si="1"/>
        <v>138601300.49985799</v>
      </c>
      <c r="S8" s="10">
        <f t="shared" si="1"/>
        <v>145559085.78495085</v>
      </c>
      <c r="T8" s="10">
        <f t="shared" si="1"/>
        <v>152866151.8913554</v>
      </c>
      <c r="U8" s="10">
        <f t="shared" si="1"/>
        <v>160540032.71630144</v>
      </c>
      <c r="V8" s="10">
        <f t="shared" si="1"/>
        <v>168599142.35865977</v>
      </c>
    </row>
    <row r="9" spans="1:22" x14ac:dyDescent="0.25">
      <c r="A9" s="4" t="s">
        <v>4</v>
      </c>
      <c r="B9" s="10">
        <f>SUM(B8:B8)</f>
        <v>2136377542.5975661</v>
      </c>
      <c r="C9" s="10">
        <v>0</v>
      </c>
      <c r="D9" s="6">
        <f t="shared" ref="D9:U9" si="2">SUM(D8:D8)</f>
        <v>69816666.666666672</v>
      </c>
      <c r="E9" s="6">
        <f t="shared" si="2"/>
        <v>73321463.333333343</v>
      </c>
      <c r="F9" s="6">
        <f t="shared" si="2"/>
        <v>77002200.792666674</v>
      </c>
      <c r="G9" s="6">
        <f t="shared" si="2"/>
        <v>80867711.272458538</v>
      </c>
      <c r="H9" s="6">
        <f t="shared" si="2"/>
        <v>84927270.378335953</v>
      </c>
      <c r="I9" s="6">
        <f t="shared" si="2"/>
        <v>89190619.351328418</v>
      </c>
      <c r="J9" s="6">
        <f t="shared" si="2"/>
        <v>93667988.442765102</v>
      </c>
      <c r="K9" s="6">
        <f t="shared" si="2"/>
        <v>98370121.462591916</v>
      </c>
      <c r="L9" s="6">
        <f t="shared" si="2"/>
        <v>103308301.56001402</v>
      </c>
      <c r="M9" s="6">
        <f t="shared" si="2"/>
        <v>108494378.29832673</v>
      </c>
      <c r="N9" s="6">
        <f t="shared" si="2"/>
        <v>113940796.08890273</v>
      </c>
      <c r="O9" s="6">
        <f t="shared" si="2"/>
        <v>119660624.05256565</v>
      </c>
      <c r="P9" s="6">
        <f t="shared" si="2"/>
        <v>125667587.38000445</v>
      </c>
      <c r="Q9" s="6">
        <f t="shared" si="2"/>
        <v>131976100.26648067</v>
      </c>
      <c r="R9" s="6">
        <f t="shared" si="2"/>
        <v>138601300.49985799</v>
      </c>
      <c r="S9" s="6">
        <f t="shared" si="2"/>
        <v>145559085.78495085</v>
      </c>
      <c r="T9" s="18">
        <f t="shared" si="2"/>
        <v>152866151.8913554</v>
      </c>
      <c r="U9" s="20">
        <f t="shared" si="2"/>
        <v>160540032.71630144</v>
      </c>
      <c r="V9" s="20">
        <f t="shared" ref="V9" si="3">((U9*0.0351)+U9)</f>
        <v>166174987.86464363</v>
      </c>
    </row>
    <row r="10" spans="1:22" x14ac:dyDescent="0.25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7"/>
      <c r="U10" s="14"/>
      <c r="V10" s="14"/>
    </row>
    <row r="11" spans="1:22" x14ac:dyDescent="0.25">
      <c r="A11" s="4" t="s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7"/>
      <c r="U11" s="14"/>
      <c r="V11" s="14"/>
    </row>
    <row r="12" spans="1:22" x14ac:dyDescent="0.25">
      <c r="A12" s="5" t="s">
        <v>6</v>
      </c>
      <c r="B12" s="10">
        <f>C32</f>
        <v>101450000</v>
      </c>
      <c r="C12" s="10">
        <f>B12</f>
        <v>101450000</v>
      </c>
      <c r="D12" s="10">
        <f>C12</f>
        <v>101450000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7"/>
      <c r="U12" s="14"/>
      <c r="V12" s="14"/>
    </row>
    <row r="13" spans="1:22" x14ac:dyDescent="0.25">
      <c r="A13" s="5" t="s">
        <v>7</v>
      </c>
      <c r="B13" s="10">
        <f>SUM(D13:T13)</f>
        <v>506671093.13890201</v>
      </c>
      <c r="C13" s="10"/>
      <c r="D13" s="10">
        <f>C33</f>
        <v>24000000</v>
      </c>
      <c r="E13" s="10">
        <f>((D13*0.0264)+D13)</f>
        <v>24633600</v>
      </c>
      <c r="F13" s="10">
        <f t="shared" ref="F13:Q13" si="4">((E13*0.0264)+E13)</f>
        <v>25283927.039999999</v>
      </c>
      <c r="G13" s="10">
        <f t="shared" si="4"/>
        <v>25951422.713856</v>
      </c>
      <c r="H13" s="10">
        <f t="shared" si="4"/>
        <v>26636540.273501799</v>
      </c>
      <c r="I13" s="10">
        <f t="shared" si="4"/>
        <v>27339744.936722245</v>
      </c>
      <c r="J13" s="10">
        <f t="shared" si="4"/>
        <v>28061514.203051712</v>
      </c>
      <c r="K13" s="10">
        <f t="shared" si="4"/>
        <v>28802338.178012278</v>
      </c>
      <c r="L13" s="10">
        <f t="shared" si="4"/>
        <v>29562719.905911803</v>
      </c>
      <c r="M13" s="10">
        <f t="shared" si="4"/>
        <v>30343175.711427875</v>
      </c>
      <c r="N13" s="10">
        <f t="shared" si="4"/>
        <v>31144235.550209571</v>
      </c>
      <c r="O13" s="10">
        <f t="shared" si="4"/>
        <v>31966443.368735105</v>
      </c>
      <c r="P13" s="10">
        <f t="shared" si="4"/>
        <v>32810357.473669712</v>
      </c>
      <c r="Q13" s="10">
        <f t="shared" si="4"/>
        <v>33676550.910974592</v>
      </c>
      <c r="R13" s="10">
        <f>((Q13*0.0264)+Q13)</f>
        <v>34565611.855024323</v>
      </c>
      <c r="S13" s="10">
        <f t="shared" ref="S13:V13" si="5">((R13*0.0264)+R13)</f>
        <v>35478144.007996961</v>
      </c>
      <c r="T13" s="10">
        <f t="shared" si="5"/>
        <v>36414767.009808078</v>
      </c>
      <c r="U13" s="10">
        <f t="shared" si="5"/>
        <v>37376116.858867012</v>
      </c>
      <c r="V13" s="10">
        <f t="shared" si="5"/>
        <v>38362846.3439411</v>
      </c>
    </row>
    <row r="14" spans="1:22" x14ac:dyDescent="0.25">
      <c r="A14" s="5" t="s">
        <v>8</v>
      </c>
      <c r="B14" s="10">
        <f>SUM(D14:T14)</f>
        <v>126667773.2847255</v>
      </c>
      <c r="C14" s="10"/>
      <c r="D14" s="10">
        <f>C34</f>
        <v>6000000</v>
      </c>
      <c r="E14" s="10">
        <f>((D14*0.0264)+D14)</f>
        <v>6158400</v>
      </c>
      <c r="F14" s="10">
        <f t="shared" ref="F14:V14" si="6">((E14*0.0264)+E14)</f>
        <v>6320981.7599999998</v>
      </c>
      <c r="G14" s="10">
        <f t="shared" si="6"/>
        <v>6487855.6784640001</v>
      </c>
      <c r="H14" s="10">
        <f t="shared" si="6"/>
        <v>6659135.0683754496</v>
      </c>
      <c r="I14" s="10">
        <f t="shared" si="6"/>
        <v>6834936.2341805613</v>
      </c>
      <c r="J14" s="10">
        <f t="shared" si="6"/>
        <v>7015378.5507629281</v>
      </c>
      <c r="K14" s="10">
        <f t="shared" si="6"/>
        <v>7200584.5445030695</v>
      </c>
      <c r="L14" s="10">
        <f t="shared" si="6"/>
        <v>7390679.9764779508</v>
      </c>
      <c r="M14" s="10">
        <f t="shared" si="6"/>
        <v>7585793.9278569687</v>
      </c>
      <c r="N14" s="10">
        <f t="shared" si="6"/>
        <v>7786058.8875523927</v>
      </c>
      <c r="O14" s="10">
        <f t="shared" si="6"/>
        <v>7991610.8421837762</v>
      </c>
      <c r="P14" s="10">
        <f t="shared" si="6"/>
        <v>8202589.3684174279</v>
      </c>
      <c r="Q14" s="10">
        <f t="shared" si="6"/>
        <v>8419137.727743648</v>
      </c>
      <c r="R14" s="10">
        <f t="shared" si="6"/>
        <v>8641402.9637560807</v>
      </c>
      <c r="S14" s="10">
        <f t="shared" si="6"/>
        <v>8869536.0019992404</v>
      </c>
      <c r="T14" s="10">
        <f t="shared" si="6"/>
        <v>9103691.7524520196</v>
      </c>
      <c r="U14" s="10">
        <f t="shared" si="6"/>
        <v>9344029.214716753</v>
      </c>
      <c r="V14" s="10">
        <f t="shared" si="6"/>
        <v>9590711.585985275</v>
      </c>
    </row>
    <row r="15" spans="1:22" x14ac:dyDescent="0.25">
      <c r="A15" s="5" t="s">
        <v>9</v>
      </c>
      <c r="B15" s="10">
        <f>SUM(D15:T15)</f>
        <v>126667773.2847255</v>
      </c>
      <c r="C15" s="10"/>
      <c r="D15" s="10">
        <f>C35</f>
        <v>6000000</v>
      </c>
      <c r="E15" s="10">
        <f>((D15*0.0264)+D15)</f>
        <v>6158400</v>
      </c>
      <c r="F15" s="10">
        <f t="shared" ref="F15:V15" si="7">((E15*0.0264)+E15)</f>
        <v>6320981.7599999998</v>
      </c>
      <c r="G15" s="10">
        <f t="shared" si="7"/>
        <v>6487855.6784640001</v>
      </c>
      <c r="H15" s="10">
        <f t="shared" si="7"/>
        <v>6659135.0683754496</v>
      </c>
      <c r="I15" s="10">
        <f t="shared" si="7"/>
        <v>6834936.2341805613</v>
      </c>
      <c r="J15" s="10">
        <f t="shared" si="7"/>
        <v>7015378.5507629281</v>
      </c>
      <c r="K15" s="10">
        <f t="shared" si="7"/>
        <v>7200584.5445030695</v>
      </c>
      <c r="L15" s="10">
        <f t="shared" si="7"/>
        <v>7390679.9764779508</v>
      </c>
      <c r="M15" s="10">
        <f t="shared" si="7"/>
        <v>7585793.9278569687</v>
      </c>
      <c r="N15" s="10">
        <f>((M15*0.0264)+M15)</f>
        <v>7786058.8875523927</v>
      </c>
      <c r="O15" s="10">
        <f t="shared" si="7"/>
        <v>7991610.8421837762</v>
      </c>
      <c r="P15" s="10">
        <f t="shared" si="7"/>
        <v>8202589.3684174279</v>
      </c>
      <c r="Q15" s="10">
        <f t="shared" si="7"/>
        <v>8419137.727743648</v>
      </c>
      <c r="R15" s="10">
        <f t="shared" si="7"/>
        <v>8641402.9637560807</v>
      </c>
      <c r="S15" s="10">
        <f t="shared" si="7"/>
        <v>8869536.0019992404</v>
      </c>
      <c r="T15" s="10">
        <f t="shared" si="7"/>
        <v>9103691.7524520196</v>
      </c>
      <c r="U15" s="10">
        <f t="shared" si="7"/>
        <v>9344029.214716753</v>
      </c>
      <c r="V15" s="10">
        <f t="shared" si="7"/>
        <v>9590711.585985275</v>
      </c>
    </row>
    <row r="16" spans="1:22" x14ac:dyDescent="0.25">
      <c r="A16" s="4" t="s">
        <v>10</v>
      </c>
      <c r="B16" s="10">
        <f>SUM(C16:V16)</f>
        <v>1076515084.5125651</v>
      </c>
      <c r="C16" s="6">
        <f>SUM(C12:C15)</f>
        <v>101450000</v>
      </c>
      <c r="D16" s="6">
        <f>SUM(D12:D15)</f>
        <v>137450000</v>
      </c>
      <c r="E16" s="6">
        <f t="shared" ref="E16:T16" si="8">SUM(E13:E15)</f>
        <v>36950400</v>
      </c>
      <c r="F16" s="6">
        <f t="shared" si="8"/>
        <v>37925890.559999995</v>
      </c>
      <c r="G16" s="6">
        <f t="shared" si="8"/>
        <v>38927134.070784003</v>
      </c>
      <c r="H16" s="6">
        <f t="shared" si="8"/>
        <v>39954810.410252698</v>
      </c>
      <c r="I16" s="6">
        <f t="shared" si="8"/>
        <v>41009617.405083366</v>
      </c>
      <c r="J16" s="6">
        <f t="shared" si="8"/>
        <v>42092271.304577567</v>
      </c>
      <c r="K16" s="6">
        <f t="shared" si="8"/>
        <v>43203507.267018415</v>
      </c>
      <c r="L16" s="6">
        <f t="shared" si="8"/>
        <v>44344079.858867705</v>
      </c>
      <c r="M16" s="6">
        <f t="shared" si="8"/>
        <v>45514763.567141809</v>
      </c>
      <c r="N16" s="6">
        <f t="shared" si="8"/>
        <v>46716353.325314358</v>
      </c>
      <c r="O16" s="6">
        <f t="shared" si="8"/>
        <v>47949665.053102657</v>
      </c>
      <c r="P16" s="6">
        <f t="shared" si="8"/>
        <v>49215536.210504569</v>
      </c>
      <c r="Q16" s="6">
        <f t="shared" si="8"/>
        <v>50514826.366461888</v>
      </c>
      <c r="R16" s="6">
        <f t="shared" si="8"/>
        <v>51848417.782536492</v>
      </c>
      <c r="S16" s="6">
        <f t="shared" si="8"/>
        <v>53217216.01199545</v>
      </c>
      <c r="T16" s="18">
        <f t="shared" si="8"/>
        <v>54622150.51471211</v>
      </c>
      <c r="U16" s="20">
        <f>SUM(U13:U15)</f>
        <v>56064175.288300522</v>
      </c>
      <c r="V16" s="20">
        <f>SUM(V13:V15)</f>
        <v>57544269.515911646</v>
      </c>
    </row>
    <row r="17" spans="1:22" x14ac:dyDescent="0.25">
      <c r="A17" s="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7"/>
      <c r="U17" s="14"/>
      <c r="V17" s="14"/>
    </row>
    <row r="18" spans="1:22" x14ac:dyDescent="0.25">
      <c r="A18" s="4" t="s">
        <v>67</v>
      </c>
      <c r="B18" s="10">
        <f>B9-B16</f>
        <v>1059862458.085001</v>
      </c>
      <c r="C18" s="10">
        <f>C9-C16</f>
        <v>-101450000</v>
      </c>
      <c r="D18" s="10">
        <f>D9-D16</f>
        <v>-67633333.333333328</v>
      </c>
      <c r="E18" s="10">
        <f t="shared" ref="E18:T18" si="9">E9-E16</f>
        <v>36371063.333333343</v>
      </c>
      <c r="F18" s="10">
        <f t="shared" si="9"/>
        <v>39076310.232666679</v>
      </c>
      <c r="G18" s="10">
        <f t="shared" si="9"/>
        <v>41940577.201674536</v>
      </c>
      <c r="H18" s="10">
        <f t="shared" si="9"/>
        <v>44972459.968083255</v>
      </c>
      <c r="I18" s="10">
        <f t="shared" si="9"/>
        <v>48181001.946245052</v>
      </c>
      <c r="J18" s="10">
        <f t="shared" si="9"/>
        <v>51575717.138187535</v>
      </c>
      <c r="K18" s="10">
        <f t="shared" si="9"/>
        <v>55166614.195573501</v>
      </c>
      <c r="L18" s="10">
        <f t="shared" si="9"/>
        <v>58964221.70114632</v>
      </c>
      <c r="M18" s="10">
        <f t="shared" si="9"/>
        <v>62979614.731184922</v>
      </c>
      <c r="N18" s="10">
        <f t="shared" si="9"/>
        <v>67224442.763588369</v>
      </c>
      <c r="O18" s="10">
        <f t="shared" si="9"/>
        <v>71710958.999462992</v>
      </c>
      <c r="P18" s="10">
        <f t="shared" si="9"/>
        <v>76452051.169499874</v>
      </c>
      <c r="Q18" s="10">
        <f t="shared" si="9"/>
        <v>81461273.900018781</v>
      </c>
      <c r="R18" s="10">
        <f t="shared" si="9"/>
        <v>86752882.7173215</v>
      </c>
      <c r="S18" s="10">
        <f t="shared" si="9"/>
        <v>92341869.772955403</v>
      </c>
      <c r="T18" s="17">
        <f t="shared" si="9"/>
        <v>98244001.376643285</v>
      </c>
      <c r="U18" s="8">
        <f>U9-U16</f>
        <v>104475857.42800093</v>
      </c>
      <c r="V18" s="8">
        <f>V9-V16</f>
        <v>108630718.34873199</v>
      </c>
    </row>
    <row r="19" spans="1:22" s="21" customFormat="1" x14ac:dyDescent="0.25">
      <c r="A19" s="4" t="s">
        <v>51</v>
      </c>
      <c r="B19" s="10"/>
      <c r="C19" s="10">
        <v>0</v>
      </c>
      <c r="D19" s="10">
        <v>5000000</v>
      </c>
      <c r="E19" s="10">
        <f>1.05*D19</f>
        <v>5250000</v>
      </c>
      <c r="F19" s="10">
        <f t="shared" ref="F19:V19" si="10">1.05*E19</f>
        <v>5512500</v>
      </c>
      <c r="G19" s="10">
        <f t="shared" si="10"/>
        <v>5788125</v>
      </c>
      <c r="H19" s="10">
        <f t="shared" si="10"/>
        <v>6077531.25</v>
      </c>
      <c r="I19" s="10">
        <f t="shared" si="10"/>
        <v>6381407.8125</v>
      </c>
      <c r="J19" s="10">
        <f t="shared" si="10"/>
        <v>6700478.203125</v>
      </c>
      <c r="K19" s="10">
        <f t="shared" si="10"/>
        <v>7035502.11328125</v>
      </c>
      <c r="L19" s="10">
        <f t="shared" si="10"/>
        <v>7387277.2189453132</v>
      </c>
      <c r="M19" s="10">
        <f t="shared" si="10"/>
        <v>7756641.0798925795</v>
      </c>
      <c r="N19" s="10">
        <f t="shared" si="10"/>
        <v>8144473.133887209</v>
      </c>
      <c r="O19" s="10">
        <f t="shared" si="10"/>
        <v>8551696.7905815691</v>
      </c>
      <c r="P19" s="10">
        <f t="shared" si="10"/>
        <v>8979281.6301106475</v>
      </c>
      <c r="Q19" s="10">
        <f t="shared" si="10"/>
        <v>9428245.7116161808</v>
      </c>
      <c r="R19" s="10">
        <f t="shared" si="10"/>
        <v>9899657.997196991</v>
      </c>
      <c r="S19" s="10">
        <f t="shared" si="10"/>
        <v>10394640.89705684</v>
      </c>
      <c r="T19" s="10">
        <f t="shared" si="10"/>
        <v>10914372.941909682</v>
      </c>
      <c r="U19" s="10">
        <f t="shared" si="10"/>
        <v>11460091.589005167</v>
      </c>
      <c r="V19" s="10">
        <f t="shared" si="10"/>
        <v>12033096.168455426</v>
      </c>
    </row>
    <row r="20" spans="1:22" x14ac:dyDescent="0.25">
      <c r="A20" s="4" t="s">
        <v>12</v>
      </c>
      <c r="B20" s="10"/>
      <c r="C20" s="10">
        <f>C18</f>
        <v>-101450000</v>
      </c>
      <c r="D20" s="10">
        <f t="shared" ref="D20:V20" si="11">D18-D19</f>
        <v>-72633333.333333328</v>
      </c>
      <c r="E20" s="10">
        <f t="shared" si="11"/>
        <v>31121063.333333343</v>
      </c>
      <c r="F20" s="10">
        <f t="shared" si="11"/>
        <v>33563810.232666679</v>
      </c>
      <c r="G20" s="10">
        <f t="shared" si="11"/>
        <v>36152452.201674536</v>
      </c>
      <c r="H20" s="10">
        <f t="shared" si="11"/>
        <v>38894928.718083255</v>
      </c>
      <c r="I20" s="10">
        <f t="shared" si="11"/>
        <v>41799594.133745052</v>
      </c>
      <c r="J20" s="10">
        <f t="shared" si="11"/>
        <v>44875238.935062535</v>
      </c>
      <c r="K20" s="10">
        <f t="shared" si="11"/>
        <v>48131112.082292251</v>
      </c>
      <c r="L20" s="10">
        <f t="shared" si="11"/>
        <v>51576944.48220101</v>
      </c>
      <c r="M20" s="10">
        <f t="shared" si="11"/>
        <v>55222973.651292339</v>
      </c>
      <c r="N20" s="10">
        <f t="shared" si="11"/>
        <v>59079969.62970116</v>
      </c>
      <c r="O20" s="10">
        <f t="shared" si="11"/>
        <v>63159262.208881423</v>
      </c>
      <c r="P20" s="10">
        <f t="shared" si="11"/>
        <v>67472769.539389223</v>
      </c>
      <c r="Q20" s="10">
        <f t="shared" si="11"/>
        <v>72033028.188402593</v>
      </c>
      <c r="R20" s="10">
        <f t="shared" si="11"/>
        <v>76853224.720124513</v>
      </c>
      <c r="S20" s="10">
        <f t="shared" si="11"/>
        <v>81947228.87589857</v>
      </c>
      <c r="T20" s="10">
        <f t="shared" si="11"/>
        <v>87329628.434733599</v>
      </c>
      <c r="U20" s="10">
        <f t="shared" si="11"/>
        <v>93015765.838995755</v>
      </c>
      <c r="V20" s="10">
        <f t="shared" si="11"/>
        <v>96597622.180276573</v>
      </c>
    </row>
    <row r="21" spans="1:22" ht="15.75" thickBot="1" x14ac:dyDescent="0.3"/>
    <row r="22" spans="1:22" ht="63.75" thickBot="1" x14ac:dyDescent="0.3">
      <c r="A22" s="52" t="s">
        <v>32</v>
      </c>
      <c r="B22" s="53" t="s">
        <v>0</v>
      </c>
      <c r="C22" s="53" t="s">
        <v>15</v>
      </c>
      <c r="F22" s="60" t="s">
        <v>40</v>
      </c>
      <c r="G22" s="60" t="s">
        <v>41</v>
      </c>
      <c r="H22" s="60" t="s">
        <v>76</v>
      </c>
      <c r="I22" s="60" t="s">
        <v>65</v>
      </c>
      <c r="J22" s="60" t="s">
        <v>42</v>
      </c>
      <c r="K22" s="60" t="s">
        <v>43</v>
      </c>
      <c r="L22" s="63"/>
    </row>
    <row r="23" spans="1:22" ht="16.5" thickBot="1" x14ac:dyDescent="0.3">
      <c r="A23" s="54"/>
      <c r="B23" s="55" t="s">
        <v>39</v>
      </c>
      <c r="C23" s="61">
        <v>12500000</v>
      </c>
      <c r="F23" s="12" t="s">
        <v>44</v>
      </c>
      <c r="G23" s="14">
        <v>5000</v>
      </c>
      <c r="H23" s="12"/>
      <c r="I23" s="12"/>
      <c r="J23" s="12"/>
      <c r="K23" s="14"/>
      <c r="L23" t="s">
        <v>52</v>
      </c>
    </row>
    <row r="24" spans="1:22" ht="16.5" thickBot="1" x14ac:dyDescent="0.3">
      <c r="A24" s="54"/>
      <c r="B24" s="55" t="s">
        <v>49</v>
      </c>
      <c r="C24" s="61">
        <v>1750000</v>
      </c>
      <c r="F24" s="12" t="s">
        <v>77</v>
      </c>
      <c r="G24" s="14">
        <v>55000</v>
      </c>
      <c r="H24" s="14">
        <f>(C23+C24+C25+C26+C27+C28+C33+C34+C35)/G24</f>
        <v>1230.909090909091</v>
      </c>
      <c r="I24" s="12">
        <f>(4*4)*12</f>
        <v>192</v>
      </c>
      <c r="J24" s="74">
        <f>H24/I24</f>
        <v>6.4109848484848486</v>
      </c>
      <c r="K24" s="14">
        <f>(G24*H24)</f>
        <v>67700000</v>
      </c>
      <c r="L24" t="s">
        <v>50</v>
      </c>
    </row>
    <row r="25" spans="1:22" ht="16.5" thickBot="1" x14ac:dyDescent="0.3">
      <c r="A25" s="54"/>
      <c r="B25" s="55" t="s">
        <v>33</v>
      </c>
      <c r="C25" s="61">
        <v>3900000</v>
      </c>
      <c r="F25" s="12" t="s">
        <v>78</v>
      </c>
      <c r="G25" s="14">
        <v>10000</v>
      </c>
      <c r="H25" s="14">
        <f>(C31+C33+C34+C35)/G25</f>
        <v>6150</v>
      </c>
      <c r="I25" s="12">
        <f>(2*4)*12</f>
        <v>96</v>
      </c>
      <c r="J25" s="74">
        <f t="shared" ref="J25:J26" si="12">H25/I25</f>
        <v>64.0625</v>
      </c>
      <c r="K25" s="14">
        <f>(G25*H25)</f>
        <v>61500000</v>
      </c>
      <c r="L25" t="s">
        <v>47</v>
      </c>
    </row>
    <row r="26" spans="1:22" ht="16.5" thickBot="1" x14ac:dyDescent="0.3">
      <c r="A26" s="54"/>
      <c r="B26" s="55" t="s">
        <v>34</v>
      </c>
      <c r="C26" s="61">
        <v>600000</v>
      </c>
      <c r="F26" s="12" t="s">
        <v>79</v>
      </c>
      <c r="G26" s="14">
        <v>10000</v>
      </c>
      <c r="H26" s="14">
        <f>(C29+C30+C33+C34+C35)/G26</f>
        <v>8025</v>
      </c>
      <c r="I26" s="12">
        <f>(2*4)*12</f>
        <v>96</v>
      </c>
      <c r="J26" s="74">
        <f t="shared" si="12"/>
        <v>83.59375</v>
      </c>
      <c r="K26" s="14">
        <f>(G26*H26)</f>
        <v>80250000</v>
      </c>
      <c r="L26" t="s">
        <v>47</v>
      </c>
    </row>
    <row r="27" spans="1:22" ht="32.25" thickBot="1" x14ac:dyDescent="0.3">
      <c r="A27" s="54"/>
      <c r="B27" s="55" t="s">
        <v>48</v>
      </c>
      <c r="C27" s="61">
        <v>12000000</v>
      </c>
      <c r="F27" s="12" t="s">
        <v>36</v>
      </c>
      <c r="G27" s="12"/>
      <c r="H27" s="12"/>
      <c r="I27" s="12"/>
      <c r="J27" s="12"/>
      <c r="K27" s="14">
        <f>AVERAGE(K24:K26)</f>
        <v>69816666.666666672</v>
      </c>
    </row>
    <row r="28" spans="1:22" ht="16.5" thickBot="1" x14ac:dyDescent="0.3">
      <c r="A28" s="54"/>
      <c r="B28" s="55" t="s">
        <v>35</v>
      </c>
      <c r="C28" s="56">
        <v>950000</v>
      </c>
    </row>
    <row r="29" spans="1:22" ht="16.5" thickBot="1" x14ac:dyDescent="0.3">
      <c r="A29" s="54"/>
      <c r="B29" s="55" t="s">
        <v>45</v>
      </c>
      <c r="C29" s="56">
        <v>18500000</v>
      </c>
    </row>
    <row r="30" spans="1:22" ht="16.5" thickBot="1" x14ac:dyDescent="0.3">
      <c r="A30" s="54"/>
      <c r="B30" s="55" t="s">
        <v>46</v>
      </c>
      <c r="C30" s="56">
        <v>25750000</v>
      </c>
      <c r="F30" s="21"/>
      <c r="G30" s="21"/>
      <c r="H30" s="21"/>
      <c r="I30" s="21"/>
    </row>
    <row r="31" spans="1:22" s="21" customFormat="1" ht="111" thickBot="1" x14ac:dyDescent="0.3">
      <c r="A31" s="54"/>
      <c r="B31" s="55" t="s">
        <v>53</v>
      </c>
      <c r="C31" s="56">
        <v>25500000</v>
      </c>
      <c r="F31"/>
      <c r="G31"/>
      <c r="H31"/>
      <c r="I31"/>
    </row>
    <row r="32" spans="1:22" ht="16.5" thickBot="1" x14ac:dyDescent="0.3">
      <c r="A32" s="54"/>
      <c r="B32" s="57" t="s">
        <v>36</v>
      </c>
      <c r="C32" s="58">
        <f>SUM(C23:C31)</f>
        <v>101450000</v>
      </c>
    </row>
    <row r="33" spans="1:3" ht="16.5" thickBot="1" x14ac:dyDescent="0.3">
      <c r="A33" s="54"/>
      <c r="B33" s="55" t="s">
        <v>29</v>
      </c>
      <c r="C33" s="55">
        <f>2000000*12</f>
        <v>24000000</v>
      </c>
    </row>
    <row r="34" spans="1:3" ht="16.5" thickBot="1" x14ac:dyDescent="0.3">
      <c r="A34" s="54"/>
      <c r="B34" s="55" t="s">
        <v>37</v>
      </c>
      <c r="C34" s="55">
        <f>500000*12</f>
        <v>6000000</v>
      </c>
    </row>
    <row r="35" spans="1:3" ht="15.75" x14ac:dyDescent="0.25">
      <c r="B35" s="59" t="s">
        <v>38</v>
      </c>
      <c r="C35">
        <f>500000*12</f>
        <v>6000000</v>
      </c>
    </row>
  </sheetData>
  <mergeCells count="2"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45DA-AE7C-4FC1-8242-83852617B365}">
  <dimension ref="A1:E21"/>
  <sheetViews>
    <sheetView topLeftCell="A3" workbookViewId="0">
      <selection sqref="A1:E21"/>
    </sheetView>
  </sheetViews>
  <sheetFormatPr defaultRowHeight="15" x14ac:dyDescent="0.25"/>
  <cols>
    <col min="2" max="2" width="14.5703125" customWidth="1"/>
    <col min="3" max="3" width="16.5703125" customWidth="1"/>
    <col min="4" max="4" width="13.7109375" customWidth="1"/>
    <col min="5" max="5" width="14.5703125" customWidth="1"/>
  </cols>
  <sheetData>
    <row r="1" spans="1:5" x14ac:dyDescent="0.25">
      <c r="A1" s="11" t="s">
        <v>13</v>
      </c>
      <c r="B1" s="11" t="s">
        <v>14</v>
      </c>
      <c r="C1" s="11" t="s">
        <v>11</v>
      </c>
      <c r="D1" s="11" t="s">
        <v>15</v>
      </c>
      <c r="E1" s="11" t="s">
        <v>64</v>
      </c>
    </row>
    <row r="2" spans="1:5" x14ac:dyDescent="0.25">
      <c r="A2" s="12">
        <v>1</v>
      </c>
      <c r="B2" s="13">
        <f>BEP!A4</f>
        <v>2022</v>
      </c>
      <c r="C2" s="14">
        <v>0</v>
      </c>
      <c r="D2" s="14">
        <f>'Analisa kas'!C16</f>
        <v>101450000</v>
      </c>
      <c r="E2" s="14">
        <f>'Analisa kas'!C20</f>
        <v>-101450000</v>
      </c>
    </row>
    <row r="3" spans="1:5" x14ac:dyDescent="0.25">
      <c r="A3" s="12">
        <v>2</v>
      </c>
      <c r="B3" s="13">
        <f>BEP!A5</f>
        <v>2023</v>
      </c>
      <c r="C3" s="14">
        <f>'Analisa kas'!D9</f>
        <v>69816666.666666672</v>
      </c>
      <c r="D3" s="14">
        <f>'Analisa kas'!D16</f>
        <v>137450000</v>
      </c>
      <c r="E3" s="14">
        <f>'Analisa kas'!D20</f>
        <v>-72633333.333333328</v>
      </c>
    </row>
    <row r="4" spans="1:5" x14ac:dyDescent="0.25">
      <c r="A4" s="12">
        <v>3</v>
      </c>
      <c r="B4" s="13">
        <f>BEP!A6</f>
        <v>2024</v>
      </c>
      <c r="C4" s="14">
        <f>'Analisa kas'!E9</f>
        <v>73321463.333333343</v>
      </c>
      <c r="D4" s="14">
        <f>'Analisa kas'!E16</f>
        <v>36950400</v>
      </c>
      <c r="E4" s="14">
        <f>'Analisa kas'!E20</f>
        <v>31121063.333333343</v>
      </c>
    </row>
    <row r="5" spans="1:5" x14ac:dyDescent="0.25">
      <c r="A5" s="12">
        <v>4</v>
      </c>
      <c r="B5" s="13">
        <f>BEP!A7</f>
        <v>2025</v>
      </c>
      <c r="C5" s="14">
        <f>'Analisa kas'!F9</f>
        <v>77002200.792666674</v>
      </c>
      <c r="D5" s="14">
        <f>'Analisa kas'!F16</f>
        <v>37925890.559999995</v>
      </c>
      <c r="E5" s="14">
        <f>'Analisa kas'!F20</f>
        <v>33563810.232666679</v>
      </c>
    </row>
    <row r="6" spans="1:5" x14ac:dyDescent="0.25">
      <c r="A6" s="12">
        <v>5</v>
      </c>
      <c r="B6" s="13">
        <f>BEP!A8</f>
        <v>2026</v>
      </c>
      <c r="C6" s="14">
        <f>'Analisa kas'!G9</f>
        <v>80867711.272458538</v>
      </c>
      <c r="D6" s="14">
        <f>'Analisa kas'!G16</f>
        <v>38927134.070784003</v>
      </c>
      <c r="E6" s="14">
        <f>'Analisa kas'!G20</f>
        <v>36152452.201674536</v>
      </c>
    </row>
    <row r="7" spans="1:5" x14ac:dyDescent="0.25">
      <c r="A7" s="12">
        <v>6</v>
      </c>
      <c r="B7" s="13">
        <f>BEP!A9</f>
        <v>2027</v>
      </c>
      <c r="C7" s="14">
        <f>'Analisa kas'!H9</f>
        <v>84927270.378335953</v>
      </c>
      <c r="D7" s="14">
        <f>'Analisa kas'!H16</f>
        <v>39954810.410252698</v>
      </c>
      <c r="E7" s="14">
        <f>'Analisa kas'!H20</f>
        <v>38894928.718083255</v>
      </c>
    </row>
    <row r="8" spans="1:5" x14ac:dyDescent="0.25">
      <c r="A8" s="12">
        <v>7</v>
      </c>
      <c r="B8" s="13">
        <f>BEP!A10</f>
        <v>2028</v>
      </c>
      <c r="C8" s="14">
        <f>'Analisa kas'!I9</f>
        <v>89190619.351328418</v>
      </c>
      <c r="D8" s="14">
        <f>'Analisa kas'!I16</f>
        <v>41009617.405083366</v>
      </c>
      <c r="E8" s="14">
        <f>'Analisa kas'!I20</f>
        <v>41799594.133745052</v>
      </c>
    </row>
    <row r="9" spans="1:5" x14ac:dyDescent="0.25">
      <c r="A9" s="12">
        <v>8</v>
      </c>
      <c r="B9" s="13">
        <f>BEP!A11</f>
        <v>2029</v>
      </c>
      <c r="C9" s="14">
        <f>'Analisa kas'!J9</f>
        <v>93667988.442765102</v>
      </c>
      <c r="D9" s="14">
        <f>'Analisa kas'!J16</f>
        <v>42092271.304577567</v>
      </c>
      <c r="E9" s="14">
        <f>'Analisa kas'!J20</f>
        <v>44875238.935062535</v>
      </c>
    </row>
    <row r="10" spans="1:5" x14ac:dyDescent="0.25">
      <c r="A10" s="12">
        <v>9</v>
      </c>
      <c r="B10" s="13">
        <f>BEP!A12</f>
        <v>2030</v>
      </c>
      <c r="C10" s="14">
        <f>'Analisa kas'!K9</f>
        <v>98370121.462591916</v>
      </c>
      <c r="D10" s="14">
        <f>'Analisa kas'!K16</f>
        <v>43203507.267018415</v>
      </c>
      <c r="E10" s="14">
        <f>'Analisa kas'!K20</f>
        <v>48131112.082292251</v>
      </c>
    </row>
    <row r="11" spans="1:5" x14ac:dyDescent="0.25">
      <c r="A11" s="12">
        <v>10</v>
      </c>
      <c r="B11" s="13">
        <f>BEP!A13</f>
        <v>2031</v>
      </c>
      <c r="C11" s="14">
        <f>'Analisa kas'!L9</f>
        <v>103308301.56001402</v>
      </c>
      <c r="D11" s="14">
        <f>'Analisa kas'!L16</f>
        <v>44344079.858867705</v>
      </c>
      <c r="E11" s="14">
        <f>'Analisa kas'!L20</f>
        <v>51576944.48220101</v>
      </c>
    </row>
    <row r="12" spans="1:5" x14ac:dyDescent="0.25">
      <c r="A12" s="12">
        <v>11</v>
      </c>
      <c r="B12" s="13">
        <f>BEP!A14</f>
        <v>2032</v>
      </c>
      <c r="C12" s="14">
        <f>'Analisa kas'!M9</f>
        <v>108494378.29832673</v>
      </c>
      <c r="D12" s="14">
        <f>'Analisa kas'!M16</f>
        <v>45514763.567141809</v>
      </c>
      <c r="E12" s="14">
        <f>'Analisa kas'!M20</f>
        <v>55222973.651292339</v>
      </c>
    </row>
    <row r="13" spans="1:5" x14ac:dyDescent="0.25">
      <c r="A13" s="12">
        <v>12</v>
      </c>
      <c r="B13" s="13">
        <f>BEP!A15</f>
        <v>2033</v>
      </c>
      <c r="C13" s="14">
        <f>'Analisa kas'!N9</f>
        <v>113940796.08890273</v>
      </c>
      <c r="D13" s="14">
        <f>'Analisa kas'!N16</f>
        <v>46716353.325314358</v>
      </c>
      <c r="E13" s="14">
        <f>'Analisa kas'!N20</f>
        <v>59079969.62970116</v>
      </c>
    </row>
    <row r="14" spans="1:5" x14ac:dyDescent="0.25">
      <c r="A14" s="12">
        <v>13</v>
      </c>
      <c r="B14" s="13">
        <f>BEP!A16</f>
        <v>2034</v>
      </c>
      <c r="C14" s="14">
        <f>'Analisa kas'!O9</f>
        <v>119660624.05256565</v>
      </c>
      <c r="D14" s="14">
        <f>'Analisa kas'!O16</f>
        <v>47949665.053102657</v>
      </c>
      <c r="E14" s="14">
        <f>'Analisa kas'!O20</f>
        <v>63159262.208881423</v>
      </c>
    </row>
    <row r="15" spans="1:5" x14ac:dyDescent="0.25">
      <c r="A15" s="12">
        <v>14</v>
      </c>
      <c r="B15" s="13">
        <f>BEP!A17</f>
        <v>2035</v>
      </c>
      <c r="C15" s="14">
        <f>'Analisa kas'!P9</f>
        <v>125667587.38000445</v>
      </c>
      <c r="D15" s="14">
        <f>'Analisa kas'!P16</f>
        <v>49215536.210504569</v>
      </c>
      <c r="E15" s="14">
        <f>'Analisa kas'!P20</f>
        <v>67472769.539389223</v>
      </c>
    </row>
    <row r="16" spans="1:5" x14ac:dyDescent="0.25">
      <c r="A16" s="12">
        <v>15</v>
      </c>
      <c r="B16" s="13">
        <f>BEP!A18</f>
        <v>2036</v>
      </c>
      <c r="C16" s="14">
        <f>'Analisa kas'!Q9</f>
        <v>131976100.26648067</v>
      </c>
      <c r="D16" s="14">
        <f>'Analisa kas'!Q16</f>
        <v>50514826.366461888</v>
      </c>
      <c r="E16" s="14">
        <f>'Analisa kas'!Q20</f>
        <v>72033028.188402593</v>
      </c>
    </row>
    <row r="17" spans="1:5" x14ac:dyDescent="0.25">
      <c r="A17" s="12">
        <v>16</v>
      </c>
      <c r="B17" s="13">
        <f>BEP!A19</f>
        <v>2037</v>
      </c>
      <c r="C17" s="14">
        <f>'Analisa kas'!R9</f>
        <v>138601300.49985799</v>
      </c>
      <c r="D17" s="14">
        <f>'Analisa kas'!R16</f>
        <v>51848417.782536492</v>
      </c>
      <c r="E17" s="14">
        <f>'Analisa kas'!R20</f>
        <v>76853224.720124513</v>
      </c>
    </row>
    <row r="18" spans="1:5" x14ac:dyDescent="0.25">
      <c r="A18" s="12">
        <v>17</v>
      </c>
      <c r="B18" s="13">
        <f>BEP!A20</f>
        <v>2038</v>
      </c>
      <c r="C18" s="14">
        <f>'Analisa kas'!S9</f>
        <v>145559085.78495085</v>
      </c>
      <c r="D18" s="14">
        <f>'Analisa kas'!S16</f>
        <v>53217216.01199545</v>
      </c>
      <c r="E18" s="14">
        <f>'Analisa kas'!S20</f>
        <v>81947228.87589857</v>
      </c>
    </row>
    <row r="19" spans="1:5" x14ac:dyDescent="0.25">
      <c r="A19" s="12">
        <v>18</v>
      </c>
      <c r="B19" s="13">
        <f>BEP!A21</f>
        <v>2039</v>
      </c>
      <c r="C19" s="14">
        <f>'Analisa kas'!T9</f>
        <v>152866151.8913554</v>
      </c>
      <c r="D19" s="14">
        <f>'Analisa kas'!T16</f>
        <v>54622150.51471211</v>
      </c>
      <c r="E19" s="14">
        <f>'Analisa kas'!T20</f>
        <v>87329628.434733599</v>
      </c>
    </row>
    <row r="20" spans="1:5" x14ac:dyDescent="0.25">
      <c r="A20" s="12">
        <v>19</v>
      </c>
      <c r="B20" s="13">
        <f>BEP!A22</f>
        <v>2040</v>
      </c>
      <c r="C20" s="14">
        <f>'Analisa kas'!U9</f>
        <v>160540032.71630144</v>
      </c>
      <c r="D20" s="14">
        <f>'Analisa kas'!U16</f>
        <v>56064175.288300522</v>
      </c>
      <c r="E20" s="14">
        <f>'Analisa kas'!U20</f>
        <v>93015765.838995755</v>
      </c>
    </row>
    <row r="21" spans="1:5" x14ac:dyDescent="0.25">
      <c r="A21" s="12">
        <v>20</v>
      </c>
      <c r="B21" s="13">
        <f>BEP!A23</f>
        <v>2041</v>
      </c>
      <c r="C21" s="14">
        <f>'Analisa kas'!V9</f>
        <v>166174987.86464363</v>
      </c>
      <c r="D21" s="14">
        <f>'Analisa kas'!V16</f>
        <v>57544269.515911646</v>
      </c>
      <c r="E21" s="14">
        <f>'Analisa kas'!V20</f>
        <v>96597622.180276573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8597-A031-4C68-8604-F8DE73519313}">
  <dimension ref="A2:I23"/>
  <sheetViews>
    <sheetView topLeftCell="F1" workbookViewId="0">
      <selection activeCell="G4" sqref="G4"/>
    </sheetView>
  </sheetViews>
  <sheetFormatPr defaultRowHeight="15" x14ac:dyDescent="0.25"/>
  <cols>
    <col min="2" max="2" width="16" customWidth="1"/>
    <col min="3" max="3" width="17.42578125" customWidth="1"/>
    <col min="4" max="4" width="18.28515625" customWidth="1"/>
    <col min="5" max="5" width="16.42578125" customWidth="1"/>
    <col min="6" max="6" width="13" customWidth="1"/>
    <col min="7" max="7" width="17.28515625" customWidth="1"/>
    <col min="8" max="8" width="21" customWidth="1"/>
    <col min="9" max="9" width="23" customWidth="1"/>
  </cols>
  <sheetData>
    <row r="2" spans="1:9" x14ac:dyDescent="0.25">
      <c r="G2" s="77">
        <f>'Analisa kas'!G24</f>
        <v>55000</v>
      </c>
      <c r="H2" s="77">
        <f>'Analisa kas'!G25</f>
        <v>10000</v>
      </c>
      <c r="I2" s="77">
        <f>'Analisa kas'!G26</f>
        <v>10000</v>
      </c>
    </row>
    <row r="3" spans="1:9" ht="15.75" x14ac:dyDescent="0.25">
      <c r="A3" s="71" t="s">
        <v>14</v>
      </c>
      <c r="B3" s="71" t="s">
        <v>72</v>
      </c>
      <c r="C3" s="71" t="s">
        <v>73</v>
      </c>
      <c r="D3" s="71" t="s">
        <v>11</v>
      </c>
      <c r="E3" s="71" t="s">
        <v>74</v>
      </c>
      <c r="F3" s="71" t="s">
        <v>75</v>
      </c>
      <c r="G3" s="75" t="s">
        <v>82</v>
      </c>
      <c r="H3" s="75" t="s">
        <v>80</v>
      </c>
      <c r="I3" s="75" t="s">
        <v>81</v>
      </c>
    </row>
    <row r="4" spans="1:9" ht="15.75" x14ac:dyDescent="0.25">
      <c r="A4" s="72">
        <f>'[1]Pendapatan biaya chasflow'!B2</f>
        <v>2022</v>
      </c>
      <c r="B4" s="73">
        <f>'Pendapatan biaya chasflow'!D2</f>
        <v>101450000</v>
      </c>
      <c r="C4" s="73">
        <f>'Analisa kas'!C19</f>
        <v>0</v>
      </c>
      <c r="D4" s="73">
        <f>'Pendapatan biaya chasflow'!C2</f>
        <v>0</v>
      </c>
      <c r="E4" s="73">
        <f>SUM(B4:C4)</f>
        <v>101450000</v>
      </c>
      <c r="F4" s="72" t="e">
        <f>B4/(1-(C4/D4))</f>
        <v>#DIV/0!</v>
      </c>
      <c r="G4" s="76" t="e">
        <f>F4/$G$2</f>
        <v>#DIV/0!</v>
      </c>
      <c r="H4" s="76" t="e">
        <f>F4/$H$2</f>
        <v>#DIV/0!</v>
      </c>
      <c r="I4" s="76" t="e">
        <f>F4/$I$2</f>
        <v>#DIV/0!</v>
      </c>
    </row>
    <row r="5" spans="1:9" ht="15.75" x14ac:dyDescent="0.25">
      <c r="A5" s="72">
        <f>'[1]Pendapatan biaya chasflow'!B3</f>
        <v>2023</v>
      </c>
      <c r="B5" s="73">
        <f>'Pendapatan biaya chasflow'!D3</f>
        <v>137450000</v>
      </c>
      <c r="C5" s="73">
        <f>'Analisa kas'!D19</f>
        <v>5000000</v>
      </c>
      <c r="D5" s="73">
        <f>'Pendapatan biaya chasflow'!C3</f>
        <v>69816666.666666672</v>
      </c>
      <c r="E5" s="73">
        <f t="shared" ref="E5:E23" si="0">SUM(B5:C5)</f>
        <v>142450000</v>
      </c>
      <c r="F5" s="73">
        <f>B5/(1-(C5/D5))</f>
        <v>148052982.7719208</v>
      </c>
      <c r="G5" s="76">
        <f t="shared" ref="G5:G23" si="1">F5/$G$2</f>
        <v>2691.8724140349236</v>
      </c>
      <c r="H5" s="76">
        <f t="shared" ref="H5:H23" si="2">F5/$H$2</f>
        <v>14805.29827719208</v>
      </c>
      <c r="I5" s="76">
        <f t="shared" ref="I5:I23" si="3">F5/$I$2</f>
        <v>14805.29827719208</v>
      </c>
    </row>
    <row r="6" spans="1:9" ht="15.75" x14ac:dyDescent="0.25">
      <c r="A6" s="72">
        <f>'[1]Pendapatan biaya chasflow'!B4</f>
        <v>2024</v>
      </c>
      <c r="B6" s="73">
        <f>'Pendapatan biaya chasflow'!D4</f>
        <v>36950400</v>
      </c>
      <c r="C6" s="73">
        <f>'Analisa kas'!E19</f>
        <v>5250000</v>
      </c>
      <c r="D6" s="73">
        <f>'Pendapatan biaya chasflow'!C4</f>
        <v>73321463.333333343</v>
      </c>
      <c r="E6" s="73">
        <f t="shared" si="0"/>
        <v>42200400</v>
      </c>
      <c r="F6" s="73">
        <f>B6/(1-(C6/D6))</f>
        <v>39800193.298111849</v>
      </c>
      <c r="G6" s="76">
        <f t="shared" si="1"/>
        <v>723.63987814748816</v>
      </c>
      <c r="H6" s="76">
        <f t="shared" si="2"/>
        <v>3980.0193298111849</v>
      </c>
      <c r="I6" s="76">
        <f t="shared" si="3"/>
        <v>3980.0193298111849</v>
      </c>
    </row>
    <row r="7" spans="1:9" ht="15.75" x14ac:dyDescent="0.25">
      <c r="A7" s="72">
        <f>'[1]Pendapatan biaya chasflow'!B5</f>
        <v>2025</v>
      </c>
      <c r="B7" s="73">
        <f>'Pendapatan biaya chasflow'!D5</f>
        <v>37925890.559999995</v>
      </c>
      <c r="C7" s="73">
        <f>'Analisa kas'!F19</f>
        <v>5512500</v>
      </c>
      <c r="D7" s="73">
        <f>'Pendapatan biaya chasflow'!C5</f>
        <v>77002200.792666674</v>
      </c>
      <c r="E7" s="73">
        <f t="shared" si="0"/>
        <v>43438390.559999995</v>
      </c>
      <c r="F7" s="73">
        <f t="shared" ref="F7:F23" si="4">B7/(1-(C7/D7))</f>
        <v>40850318.406163894</v>
      </c>
      <c r="G7" s="76">
        <f t="shared" si="1"/>
        <v>742.73306193025257</v>
      </c>
      <c r="H7" s="76">
        <f t="shared" si="2"/>
        <v>4085.0318406163892</v>
      </c>
      <c r="I7" s="76">
        <f t="shared" si="3"/>
        <v>4085.0318406163892</v>
      </c>
    </row>
    <row r="8" spans="1:9" ht="15.75" x14ac:dyDescent="0.25">
      <c r="A8" s="72">
        <f>'[1]Pendapatan biaya chasflow'!B6</f>
        <v>2026</v>
      </c>
      <c r="B8" s="73">
        <f>'Pendapatan biaya chasflow'!D6</f>
        <v>38927134.070784003</v>
      </c>
      <c r="C8" s="73">
        <f>'Analisa kas'!G19</f>
        <v>5788125</v>
      </c>
      <c r="D8" s="73">
        <f>'Pendapatan biaya chasflow'!C6</f>
        <v>80867711.272458538</v>
      </c>
      <c r="E8" s="73">
        <f t="shared" si="0"/>
        <v>44715259.070784003</v>
      </c>
      <c r="F8" s="73">
        <f t="shared" si="4"/>
        <v>41928151.112564228</v>
      </c>
      <c r="G8" s="76">
        <f t="shared" si="1"/>
        <v>762.3300202284405</v>
      </c>
      <c r="H8" s="76">
        <f t="shared" si="2"/>
        <v>4192.8151112564228</v>
      </c>
      <c r="I8" s="76">
        <f t="shared" si="3"/>
        <v>4192.8151112564228</v>
      </c>
    </row>
    <row r="9" spans="1:9" ht="15.75" x14ac:dyDescent="0.25">
      <c r="A9" s="72">
        <f>'[1]Pendapatan biaya chasflow'!B7</f>
        <v>2027</v>
      </c>
      <c r="B9" s="73">
        <f>'Pendapatan biaya chasflow'!D7</f>
        <v>39954810.410252698</v>
      </c>
      <c r="C9" s="73">
        <f>'Analisa kas'!H19</f>
        <v>6077531.25</v>
      </c>
      <c r="D9" s="73">
        <f>'Pendapatan biaya chasflow'!C7</f>
        <v>84927270.378335953</v>
      </c>
      <c r="E9" s="73">
        <f t="shared" si="0"/>
        <v>46032341.660252698</v>
      </c>
      <c r="F9" s="73">
        <f t="shared" si="4"/>
        <v>43034422.486849561</v>
      </c>
      <c r="G9" s="76">
        <f t="shared" si="1"/>
        <v>782.44404521544652</v>
      </c>
      <c r="H9" s="76">
        <f t="shared" si="2"/>
        <v>4303.4422486849562</v>
      </c>
      <c r="I9" s="76">
        <f t="shared" si="3"/>
        <v>4303.4422486849562</v>
      </c>
    </row>
    <row r="10" spans="1:9" ht="15.75" x14ac:dyDescent="0.25">
      <c r="A10" s="72">
        <f>'[1]Pendapatan biaya chasflow'!B8</f>
        <v>2028</v>
      </c>
      <c r="B10" s="73">
        <f>'Pendapatan biaya chasflow'!D8</f>
        <v>41009617.405083366</v>
      </c>
      <c r="C10" s="73">
        <f>'Analisa kas'!I19</f>
        <v>6381407.8125</v>
      </c>
      <c r="D10" s="73">
        <f>'Pendapatan biaya chasflow'!C8</f>
        <v>89190619.351328418</v>
      </c>
      <c r="E10" s="73">
        <f t="shared" si="0"/>
        <v>47391025.217583366</v>
      </c>
      <c r="F10" s="73">
        <f t="shared" si="4"/>
        <v>44169882.88803301</v>
      </c>
      <c r="G10" s="76">
        <f t="shared" si="1"/>
        <v>803.08877978241833</v>
      </c>
      <c r="H10" s="76">
        <f t="shared" si="2"/>
        <v>4416.9882888033007</v>
      </c>
      <c r="I10" s="76">
        <f t="shared" si="3"/>
        <v>4416.9882888033007</v>
      </c>
    </row>
    <row r="11" spans="1:9" ht="15.75" x14ac:dyDescent="0.25">
      <c r="A11" s="72">
        <f>'[1]Pendapatan biaya chasflow'!B9</f>
        <v>2029</v>
      </c>
      <c r="B11" s="73">
        <f>'Pendapatan biaya chasflow'!D9</f>
        <v>42092271.304577567</v>
      </c>
      <c r="C11" s="73">
        <f>'Analisa kas'!J19</f>
        <v>6700478.203125</v>
      </c>
      <c r="D11" s="73">
        <f>'Pendapatan biaya chasflow'!C9</f>
        <v>93667988.442765102</v>
      </c>
      <c r="E11" s="73">
        <f t="shared" si="0"/>
        <v>48792749.507702567</v>
      </c>
      <c r="F11" s="73">
        <f t="shared" si="4"/>
        <v>45335302.473564535</v>
      </c>
      <c r="G11" s="76">
        <f t="shared" si="1"/>
        <v>824.27822679208248</v>
      </c>
      <c r="H11" s="76">
        <f t="shared" si="2"/>
        <v>4533.5302473564534</v>
      </c>
      <c r="I11" s="76">
        <f t="shared" si="3"/>
        <v>4533.5302473564534</v>
      </c>
    </row>
    <row r="12" spans="1:9" ht="15.75" x14ac:dyDescent="0.25">
      <c r="A12" s="72">
        <f>'[1]Pendapatan biaya chasflow'!B10</f>
        <v>2030</v>
      </c>
      <c r="B12" s="73">
        <f>'Pendapatan biaya chasflow'!D10</f>
        <v>43203507.267018415</v>
      </c>
      <c r="C12" s="73">
        <f>'Analisa kas'!K19</f>
        <v>7035502.11328125</v>
      </c>
      <c r="D12" s="73">
        <f>'Pendapatan biaya chasflow'!C10</f>
        <v>98370121.462591916</v>
      </c>
      <c r="E12" s="73">
        <f t="shared" si="0"/>
        <v>50239009.380299665</v>
      </c>
      <c r="F12" s="73">
        <f t="shared" si="4"/>
        <v>46531471.72172071</v>
      </c>
      <c r="G12" s="76">
        <f t="shared" si="1"/>
        <v>846.02675857674024</v>
      </c>
      <c r="H12" s="76">
        <f t="shared" si="2"/>
        <v>4653.1471721720709</v>
      </c>
      <c r="I12" s="76">
        <f t="shared" si="3"/>
        <v>4653.1471721720709</v>
      </c>
    </row>
    <row r="13" spans="1:9" ht="15.75" x14ac:dyDescent="0.25">
      <c r="A13" s="72">
        <f>'[1]Pendapatan biaya chasflow'!B11</f>
        <v>2031</v>
      </c>
      <c r="B13" s="73">
        <f>'Pendapatan biaya chasflow'!D11</f>
        <v>44344079.858867705</v>
      </c>
      <c r="C13" s="73">
        <f>'Analisa kas'!L19</f>
        <v>7387277.2189453132</v>
      </c>
      <c r="D13" s="73">
        <f>'Pendapatan biaya chasflow'!C11</f>
        <v>103308301.56001402</v>
      </c>
      <c r="E13" s="73">
        <f t="shared" si="0"/>
        <v>51731357.077813014</v>
      </c>
      <c r="F13" s="73">
        <f t="shared" si="4"/>
        <v>47759201.96777799</v>
      </c>
      <c r="G13" s="76">
        <f t="shared" si="1"/>
        <v>868.34912668687252</v>
      </c>
      <c r="H13" s="76">
        <f t="shared" si="2"/>
        <v>4775.920196777799</v>
      </c>
      <c r="I13" s="76">
        <f t="shared" si="3"/>
        <v>4775.920196777799</v>
      </c>
    </row>
    <row r="14" spans="1:9" ht="15.75" x14ac:dyDescent="0.25">
      <c r="A14" s="72">
        <f>'[1]Pendapatan biaya chasflow'!B12</f>
        <v>2032</v>
      </c>
      <c r="B14" s="73">
        <f>'Pendapatan biaya chasflow'!D12</f>
        <v>45514763.567141809</v>
      </c>
      <c r="C14" s="73">
        <f>'Analisa kas'!M19</f>
        <v>7756641.0798925795</v>
      </c>
      <c r="D14" s="73">
        <f>'Pendapatan biaya chasflow'!C12</f>
        <v>108494378.29832673</v>
      </c>
      <c r="E14" s="73">
        <f t="shared" si="0"/>
        <v>53271404.647034392</v>
      </c>
      <c r="F14" s="73">
        <f t="shared" si="4"/>
        <v>49019325.954333156</v>
      </c>
      <c r="G14" s="76">
        <f t="shared" si="1"/>
        <v>891.26047189696646</v>
      </c>
      <c r="H14" s="76">
        <f t="shared" si="2"/>
        <v>4901.9325954333153</v>
      </c>
      <c r="I14" s="76">
        <f t="shared" si="3"/>
        <v>4901.9325954333153</v>
      </c>
    </row>
    <row r="15" spans="1:9" ht="15.75" x14ac:dyDescent="0.25">
      <c r="A15" s="72">
        <f>'[1]Pendapatan biaya chasflow'!B13</f>
        <v>2033</v>
      </c>
      <c r="B15" s="73">
        <f>'Pendapatan biaya chasflow'!D13</f>
        <v>46716353.325314358</v>
      </c>
      <c r="C15" s="73">
        <f>'Analisa kas'!N19</f>
        <v>8144473.133887209</v>
      </c>
      <c r="D15" s="73">
        <f>'Pendapatan biaya chasflow'!C13</f>
        <v>113940796.08890273</v>
      </c>
      <c r="E15" s="73">
        <f t="shared" si="0"/>
        <v>54860826.459201567</v>
      </c>
      <c r="F15" s="73">
        <f t="shared" si="4"/>
        <v>50312698.396144323</v>
      </c>
      <c r="G15" s="76">
        <f t="shared" si="1"/>
        <v>914.77633447535129</v>
      </c>
      <c r="H15" s="76">
        <f t="shared" si="2"/>
        <v>5031.2698396144324</v>
      </c>
      <c r="I15" s="76">
        <f t="shared" si="3"/>
        <v>5031.2698396144324</v>
      </c>
    </row>
    <row r="16" spans="1:9" ht="15.75" x14ac:dyDescent="0.25">
      <c r="A16" s="72">
        <f>'[1]Pendapatan biaya chasflow'!B14</f>
        <v>2034</v>
      </c>
      <c r="B16" s="73">
        <f>'Pendapatan biaya chasflow'!D14</f>
        <v>47949665.053102657</v>
      </c>
      <c r="C16" s="73">
        <f>'Analisa kas'!O19</f>
        <v>8551696.7905815691</v>
      </c>
      <c r="D16" s="73">
        <f>'Pendapatan biaya chasflow'!C14</f>
        <v>119660624.05256565</v>
      </c>
      <c r="E16" s="73">
        <f t="shared" si="0"/>
        <v>56501361.843684226</v>
      </c>
      <c r="F16" s="73">
        <f t="shared" si="4"/>
        <v>51640196.559875451</v>
      </c>
      <c r="G16" s="76">
        <f t="shared" si="1"/>
        <v>938.9126647250082</v>
      </c>
      <c r="H16" s="76">
        <f t="shared" si="2"/>
        <v>5164.0196559875449</v>
      </c>
      <c r="I16" s="76">
        <f t="shared" si="3"/>
        <v>5164.0196559875449</v>
      </c>
    </row>
    <row r="17" spans="1:9" ht="15.75" x14ac:dyDescent="0.25">
      <c r="A17" s="72">
        <f>'[1]Pendapatan biaya chasflow'!B15</f>
        <v>2035</v>
      </c>
      <c r="B17" s="73">
        <f>'Pendapatan biaya chasflow'!D15</f>
        <v>49215536.210504569</v>
      </c>
      <c r="C17" s="73">
        <f>'Analisa kas'!P19</f>
        <v>8979281.6301106475</v>
      </c>
      <c r="D17" s="73">
        <f>'Pendapatan biaya chasflow'!C15</f>
        <v>125667587.38000445</v>
      </c>
      <c r="E17" s="73">
        <f t="shared" si="0"/>
        <v>58194817.840615213</v>
      </c>
      <c r="F17" s="73">
        <f t="shared" si="4"/>
        <v>53002720.859137885</v>
      </c>
      <c r="G17" s="76">
        <f t="shared" si="1"/>
        <v>963.68583380250698</v>
      </c>
      <c r="H17" s="76">
        <f t="shared" si="2"/>
        <v>5300.2720859137889</v>
      </c>
      <c r="I17" s="76">
        <f t="shared" si="3"/>
        <v>5300.2720859137889</v>
      </c>
    </row>
    <row r="18" spans="1:9" ht="15.75" x14ac:dyDescent="0.25">
      <c r="A18" s="72">
        <f>'[1]Pendapatan biaya chasflow'!B16</f>
        <v>2036</v>
      </c>
      <c r="B18" s="73">
        <f>'Pendapatan biaya chasflow'!D16</f>
        <v>50514826.366461888</v>
      </c>
      <c r="C18" s="73">
        <f>'Analisa kas'!Q19</f>
        <v>9428245.7116161808</v>
      </c>
      <c r="D18" s="73">
        <f>'Pendapatan biaya chasflow'!C16</f>
        <v>131976100.26648067</v>
      </c>
      <c r="E18" s="73">
        <f t="shared" si="0"/>
        <v>59943072.078078069</v>
      </c>
      <c r="F18" s="73">
        <f t="shared" si="4"/>
        <v>54401195.465232246</v>
      </c>
      <c r="G18" s="76">
        <f t="shared" si="1"/>
        <v>989.11264482240449</v>
      </c>
      <c r="H18" s="76">
        <f t="shared" si="2"/>
        <v>5440.1195465232249</v>
      </c>
      <c r="I18" s="76">
        <f t="shared" si="3"/>
        <v>5440.1195465232249</v>
      </c>
    </row>
    <row r="19" spans="1:9" ht="15.75" x14ac:dyDescent="0.25">
      <c r="A19" s="72">
        <f>'[1]Pendapatan biaya chasflow'!B17</f>
        <v>2037</v>
      </c>
      <c r="B19" s="73">
        <f>'Pendapatan biaya chasflow'!D17</f>
        <v>51848417.782536492</v>
      </c>
      <c r="C19" s="73">
        <f>'Analisa kas'!R19</f>
        <v>9899657.997196991</v>
      </c>
      <c r="D19" s="73">
        <f>'Pendapatan biaya chasflow'!C17</f>
        <v>138601300.49985799</v>
      </c>
      <c r="E19" s="73">
        <f t="shared" si="0"/>
        <v>61748075.779733479</v>
      </c>
      <c r="F19" s="73">
        <f t="shared" si="4"/>
        <v>55836568.934005171</v>
      </c>
      <c r="G19" s="76">
        <f t="shared" si="1"/>
        <v>1015.2103442546395</v>
      </c>
      <c r="H19" s="76">
        <f t="shared" si="2"/>
        <v>5583.6568934005172</v>
      </c>
      <c r="I19" s="76">
        <f t="shared" si="3"/>
        <v>5583.6568934005172</v>
      </c>
    </row>
    <row r="20" spans="1:9" ht="15.75" x14ac:dyDescent="0.25">
      <c r="A20" s="72">
        <f>'[1]Pendapatan biaya chasflow'!B18</f>
        <v>2038</v>
      </c>
      <c r="B20" s="73">
        <f>'Pendapatan biaya chasflow'!D18</f>
        <v>53217216.01199545</v>
      </c>
      <c r="C20" s="73">
        <f>'Analisa kas'!S19</f>
        <v>10394640.89705684</v>
      </c>
      <c r="D20" s="73">
        <f>'Pendapatan biaya chasflow'!C18</f>
        <v>145559085.78495085</v>
      </c>
      <c r="E20" s="73">
        <f t="shared" si="0"/>
        <v>63611856.90905229</v>
      </c>
      <c r="F20" s="73">
        <f t="shared" si="4"/>
        <v>57309814.849245884</v>
      </c>
      <c r="G20" s="76">
        <f t="shared" si="1"/>
        <v>1041.9966336226523</v>
      </c>
      <c r="H20" s="76">
        <f t="shared" si="2"/>
        <v>5730.9814849245886</v>
      </c>
      <c r="I20" s="76">
        <f t="shared" si="3"/>
        <v>5730.9814849245886</v>
      </c>
    </row>
    <row r="21" spans="1:9" ht="15.75" x14ac:dyDescent="0.25">
      <c r="A21" s="72">
        <f>'[1]Pendapatan biaya chasflow'!B19</f>
        <v>2039</v>
      </c>
      <c r="B21" s="73">
        <f>'Pendapatan biaya chasflow'!D19</f>
        <v>54622150.51471211</v>
      </c>
      <c r="C21" s="73">
        <f>'Analisa kas'!T19</f>
        <v>10914372.941909682</v>
      </c>
      <c r="D21" s="73">
        <f>'Pendapatan biaya chasflow'!C19</f>
        <v>152866151.8913554</v>
      </c>
      <c r="E21" s="73">
        <f t="shared" si="0"/>
        <v>65536523.456621796</v>
      </c>
      <c r="F21" s="73">
        <f t="shared" si="4"/>
        <v>58821932.483059324</v>
      </c>
      <c r="G21" s="76">
        <f t="shared" si="1"/>
        <v>1069.4896815101695</v>
      </c>
      <c r="H21" s="76">
        <f t="shared" si="2"/>
        <v>5882.1932483059327</v>
      </c>
      <c r="I21" s="76">
        <f t="shared" si="3"/>
        <v>5882.1932483059327</v>
      </c>
    </row>
    <row r="22" spans="1:9" ht="15.75" x14ac:dyDescent="0.25">
      <c r="A22" s="72">
        <f>'[1]Pendapatan biaya chasflow'!B20</f>
        <v>2040</v>
      </c>
      <c r="B22" s="73">
        <f>'Pendapatan biaya chasflow'!D20</f>
        <v>56064175.288300522</v>
      </c>
      <c r="C22" s="73">
        <f>'Analisa kas'!U19</f>
        <v>11460091.589005167</v>
      </c>
      <c r="D22" s="73">
        <f>'Pendapatan biaya chasflow'!C20</f>
        <v>160540032.71630144</v>
      </c>
      <c r="E22" s="73">
        <f t="shared" si="0"/>
        <v>67524266.877305686</v>
      </c>
      <c r="F22" s="73">
        <f t="shared" si="4"/>
        <v>60373947.473663442</v>
      </c>
      <c r="G22" s="76">
        <f t="shared" si="1"/>
        <v>1097.70813588479</v>
      </c>
      <c r="H22" s="76">
        <f t="shared" si="2"/>
        <v>6037.3947473663438</v>
      </c>
      <c r="I22" s="76">
        <f t="shared" si="3"/>
        <v>6037.3947473663438</v>
      </c>
    </row>
    <row r="23" spans="1:9" ht="15.75" x14ac:dyDescent="0.25">
      <c r="A23" s="72">
        <f>'[1]Pendapatan biaya chasflow'!B21</f>
        <v>2041</v>
      </c>
      <c r="B23" s="73">
        <f>'Pendapatan biaya chasflow'!D21</f>
        <v>57544269.515911646</v>
      </c>
      <c r="C23" s="73">
        <f>'Analisa kas'!V19</f>
        <v>12033096.168455426</v>
      </c>
      <c r="D23" s="73">
        <f>'Pendapatan biaya chasflow'!C21</f>
        <v>166174987.86464363</v>
      </c>
      <c r="E23" s="73">
        <f t="shared" si="0"/>
        <v>69577365.684367076</v>
      </c>
      <c r="F23" s="73">
        <f t="shared" si="4"/>
        <v>62036466.422339045</v>
      </c>
      <c r="G23" s="76">
        <f t="shared" si="1"/>
        <v>1127.9357531334372</v>
      </c>
      <c r="H23" s="76">
        <f t="shared" si="2"/>
        <v>6203.6466422339045</v>
      </c>
      <c r="I23" s="76">
        <f t="shared" si="3"/>
        <v>6203.6466422339045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9A63-589C-4483-8856-51881D49269B}">
  <dimension ref="A1:D23"/>
  <sheetViews>
    <sheetView topLeftCell="A11" workbookViewId="0">
      <selection activeCell="A2" sqref="A2:D23"/>
    </sheetView>
  </sheetViews>
  <sheetFormatPr defaultRowHeight="15" x14ac:dyDescent="0.25"/>
  <cols>
    <col min="2" max="2" width="15.140625" customWidth="1"/>
    <col min="3" max="3" width="13.85546875" customWidth="1"/>
    <col min="4" max="4" width="15" customWidth="1"/>
  </cols>
  <sheetData>
    <row r="1" spans="1:4" x14ac:dyDescent="0.25">
      <c r="A1" s="22" t="s">
        <v>16</v>
      </c>
      <c r="B1" s="22"/>
      <c r="C1" s="22"/>
      <c r="D1" s="22"/>
    </row>
    <row r="2" spans="1:4" s="65" customFormat="1" x14ac:dyDescent="0.25">
      <c r="A2" s="30" t="s">
        <v>14</v>
      </c>
      <c r="B2" s="30" t="s">
        <v>26</v>
      </c>
      <c r="C2" s="30" t="s">
        <v>17</v>
      </c>
      <c r="D2" s="30" t="s">
        <v>18</v>
      </c>
    </row>
    <row r="3" spans="1:4" x14ac:dyDescent="0.25">
      <c r="A3" s="26">
        <v>1</v>
      </c>
      <c r="B3" s="24">
        <f>'Analisa kas'!C20</f>
        <v>-101450000</v>
      </c>
      <c r="C3" s="27">
        <f>1/(1+3.5%)^A3</f>
        <v>0.96618357487922713</v>
      </c>
      <c r="D3" s="24">
        <f>B3*C3</f>
        <v>-98019323.671497598</v>
      </c>
    </row>
    <row r="4" spans="1:4" x14ac:dyDescent="0.25">
      <c r="A4" s="26">
        <v>2</v>
      </c>
      <c r="B4" s="24">
        <f>'Analisa kas'!D20</f>
        <v>-72633333.333333328</v>
      </c>
      <c r="C4" s="27">
        <f>1/(1+3.5%)^A4</f>
        <v>0.93351070036640305</v>
      </c>
      <c r="D4" s="24">
        <f t="shared" ref="D4:D22" si="0">B4*C4</f>
        <v>-67803993.869946405</v>
      </c>
    </row>
    <row r="5" spans="1:4" x14ac:dyDescent="0.25">
      <c r="A5" s="26">
        <v>3</v>
      </c>
      <c r="B5" s="24">
        <f>'Analisa kas'!E20</f>
        <v>31121063.333333343</v>
      </c>
      <c r="C5" s="27">
        <f t="shared" ref="C5:C22" si="1">1/(1+3.5%)^A5</f>
        <v>0.90194270566802237</v>
      </c>
      <c r="D5" s="24">
        <f t="shared" si="0"/>
        <v>28069416.06613256</v>
      </c>
    </row>
    <row r="6" spans="1:4" x14ac:dyDescent="0.25">
      <c r="A6" s="26">
        <v>4</v>
      </c>
      <c r="B6" s="24">
        <f>'Analisa kas'!F20</f>
        <v>33563810.232666679</v>
      </c>
      <c r="C6" s="27">
        <f t="shared" si="1"/>
        <v>0.87144222769857238</v>
      </c>
      <c r="D6" s="24">
        <f t="shared" si="0"/>
        <v>29248921.55920719</v>
      </c>
    </row>
    <row r="7" spans="1:4" x14ac:dyDescent="0.25">
      <c r="A7" s="26">
        <v>5</v>
      </c>
      <c r="B7" s="24">
        <f>'Analisa kas'!G20</f>
        <v>36152452.201674536</v>
      </c>
      <c r="C7" s="27">
        <f t="shared" si="1"/>
        <v>0.84197316685852419</v>
      </c>
      <c r="D7" s="24">
        <f t="shared" si="0"/>
        <v>30439394.669945333</v>
      </c>
    </row>
    <row r="8" spans="1:4" x14ac:dyDescent="0.25">
      <c r="A8" s="26">
        <v>6</v>
      </c>
      <c r="B8" s="24">
        <f>'Analisa kas'!H20</f>
        <v>38894928.718083255</v>
      </c>
      <c r="C8" s="27">
        <f t="shared" si="1"/>
        <v>0.81350064430775282</v>
      </c>
      <c r="D8" s="24">
        <f t="shared" si="0"/>
        <v>31641049.572464846</v>
      </c>
    </row>
    <row r="9" spans="1:4" x14ac:dyDescent="0.25">
      <c r="A9" s="26">
        <v>7</v>
      </c>
      <c r="B9" s="24">
        <f>'Analisa kas'!I20</f>
        <v>41799594.133745052</v>
      </c>
      <c r="C9" s="27">
        <f t="shared" si="1"/>
        <v>0.78599096068381913</v>
      </c>
      <c r="D9" s="24">
        <f t="shared" si="0"/>
        <v>32854103.149376005</v>
      </c>
    </row>
    <row r="10" spans="1:4" x14ac:dyDescent="0.25">
      <c r="A10" s="26">
        <v>8</v>
      </c>
      <c r="B10" s="24">
        <f>'Analisa kas'!J20</f>
        <v>44875238.935062535</v>
      </c>
      <c r="C10" s="27">
        <f>1/(1+3.5%)^A10</f>
        <v>0.75941155621625056</v>
      </c>
      <c r="D10" s="24">
        <f t="shared" si="0"/>
        <v>34078775.035251915</v>
      </c>
    </row>
    <row r="11" spans="1:4" x14ac:dyDescent="0.25">
      <c r="A11" s="26">
        <v>9</v>
      </c>
      <c r="B11" s="24">
        <f>'Analisa kas'!K20</f>
        <v>48131112.082292251</v>
      </c>
      <c r="C11" s="27">
        <f t="shared" si="1"/>
        <v>0.73373097218961414</v>
      </c>
      <c r="D11" s="24">
        <f t="shared" si="0"/>
        <v>35315287.660707578</v>
      </c>
    </row>
    <row r="12" spans="1:4" x14ac:dyDescent="0.25">
      <c r="A12" s="26">
        <v>10</v>
      </c>
      <c r="B12" s="24">
        <f>'Analisa kas'!L20</f>
        <v>51576944.48220101</v>
      </c>
      <c r="C12" s="27">
        <f t="shared" si="1"/>
        <v>0.70891881370977217</v>
      </c>
      <c r="D12" s="24">
        <f t="shared" si="0"/>
        <v>36563866.297096722</v>
      </c>
    </row>
    <row r="13" spans="1:4" x14ac:dyDescent="0.25">
      <c r="A13" s="26">
        <v>11</v>
      </c>
      <c r="B13" s="24">
        <f>'Analisa kas'!M20</f>
        <v>55222973.651292339</v>
      </c>
      <c r="C13" s="27">
        <f t="shared" si="1"/>
        <v>0.68494571372924851</v>
      </c>
      <c r="D13" s="24">
        <f t="shared" si="0"/>
        <v>37824739.101835914</v>
      </c>
    </row>
    <row r="14" spans="1:4" x14ac:dyDescent="0.25">
      <c r="A14" s="26">
        <v>12</v>
      </c>
      <c r="B14" s="24">
        <f>'Analisa kas'!N20</f>
        <v>59079969.62970116</v>
      </c>
      <c r="C14" s="27">
        <f t="shared" si="1"/>
        <v>0.66178329828912896</v>
      </c>
      <c r="D14" s="24">
        <f t="shared" si="0"/>
        <v>39098137.164365202</v>
      </c>
    </row>
    <row r="15" spans="1:4" x14ac:dyDescent="0.25">
      <c r="A15" s="26">
        <v>13</v>
      </c>
      <c r="B15" s="24">
        <f>'Analisa kas'!O20</f>
        <v>63159262.208881423</v>
      </c>
      <c r="C15" s="27">
        <f t="shared" si="1"/>
        <v>0.63940415293635666</v>
      </c>
      <c r="D15" s="24">
        <f t="shared" si="0"/>
        <v>40384294.552755073</v>
      </c>
    </row>
    <row r="16" spans="1:4" x14ac:dyDescent="0.25">
      <c r="A16" s="26">
        <v>14</v>
      </c>
      <c r="B16" s="24">
        <f>'Analisa kas'!P20</f>
        <v>67472769.539389223</v>
      </c>
      <c r="C16" s="27">
        <f t="shared" si="1"/>
        <v>0.61778179027667302</v>
      </c>
      <c r="D16" s="24">
        <f t="shared" si="0"/>
        <v>41683448.360969245</v>
      </c>
    </row>
    <row r="17" spans="1:4" x14ac:dyDescent="0.25">
      <c r="A17" s="26">
        <v>15</v>
      </c>
      <c r="B17" s="24">
        <f>'Analisa kas'!Q20</f>
        <v>72033028.188402593</v>
      </c>
      <c r="C17" s="27">
        <f t="shared" si="1"/>
        <v>0.59689061862480497</v>
      </c>
      <c r="D17" s="24">
        <f t="shared" si="0"/>
        <v>42995838.756793641</v>
      </c>
    </row>
    <row r="18" spans="1:4" x14ac:dyDescent="0.25">
      <c r="A18" s="26">
        <v>16</v>
      </c>
      <c r="B18" s="24">
        <f>'Analisa kas'!R20</f>
        <v>76853224.720124513</v>
      </c>
      <c r="C18" s="27">
        <f t="shared" si="1"/>
        <v>0.57670591171478747</v>
      </c>
      <c r="D18" s="24">
        <f t="shared" si="0"/>
        <v>44321709.030440852</v>
      </c>
    </row>
    <row r="19" spans="1:4" x14ac:dyDescent="0.25">
      <c r="A19" s="26">
        <v>17</v>
      </c>
      <c r="B19" s="24">
        <f>'Analisa kas'!S20</f>
        <v>81947228.87589857</v>
      </c>
      <c r="C19" s="27">
        <f t="shared" si="1"/>
        <v>0.55720377943457733</v>
      </c>
      <c r="D19" s="24">
        <f t="shared" si="0"/>
        <v>45661305.643841013</v>
      </c>
    </row>
    <row r="20" spans="1:4" x14ac:dyDescent="0.25">
      <c r="A20" s="26">
        <v>18</v>
      </c>
      <c r="B20" s="24">
        <f>'Analisa kas'!T20</f>
        <v>87329628.434733599</v>
      </c>
      <c r="C20" s="27">
        <f t="shared" si="1"/>
        <v>0.53836113955031628</v>
      </c>
      <c r="D20" s="24">
        <f t="shared" si="0"/>
        <v>47014878.280628882</v>
      </c>
    </row>
    <row r="21" spans="1:4" s="21" customFormat="1" x14ac:dyDescent="0.25">
      <c r="A21" s="26">
        <v>19</v>
      </c>
      <c r="B21" s="24">
        <f>'Analisa kas'!U20</f>
        <v>93015765.838995755</v>
      </c>
      <c r="C21" s="27">
        <f t="shared" si="1"/>
        <v>0.52015569038677911</v>
      </c>
      <c r="D21" s="24">
        <f t="shared" si="0"/>
        <v>48382679.896837823</v>
      </c>
    </row>
    <row r="22" spans="1:4" s="21" customFormat="1" x14ac:dyDescent="0.25">
      <c r="A22" s="26">
        <v>20</v>
      </c>
      <c r="B22" s="24">
        <f>'Analisa kas'!V20</f>
        <v>96597622.180276573</v>
      </c>
      <c r="C22" s="27">
        <f t="shared" si="1"/>
        <v>0.50256588443167061</v>
      </c>
      <c r="D22" s="24">
        <f t="shared" si="0"/>
        <v>48546669.425027058</v>
      </c>
    </row>
    <row r="23" spans="1:4" x14ac:dyDescent="0.25">
      <c r="A23" s="28"/>
      <c r="B23" s="29"/>
      <c r="C23" s="30" t="s">
        <v>19</v>
      </c>
      <c r="D23" s="31">
        <f>SUM(D3:D22)</f>
        <v>528301196.68223286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3283-D7CE-4918-8E0F-A9D21AFAF3BC}">
  <dimension ref="A1:F24"/>
  <sheetViews>
    <sheetView topLeftCell="C12" workbookViewId="0">
      <selection activeCell="A2" sqref="A2:F24"/>
    </sheetView>
  </sheetViews>
  <sheetFormatPr defaultRowHeight="15" x14ac:dyDescent="0.25"/>
  <cols>
    <col min="2" max="2" width="14.140625" customWidth="1"/>
    <col min="3" max="3" width="15.42578125" customWidth="1"/>
    <col min="4" max="4" width="14.140625" customWidth="1"/>
    <col min="5" max="5" width="14.5703125" customWidth="1"/>
    <col min="6" max="6" width="15.85546875" customWidth="1"/>
  </cols>
  <sheetData>
    <row r="1" spans="1:6" x14ac:dyDescent="0.25">
      <c r="A1" s="38" t="s">
        <v>20</v>
      </c>
      <c r="B1" s="38"/>
      <c r="C1" s="38"/>
      <c r="D1" s="38"/>
      <c r="E1" s="38"/>
      <c r="F1" s="38"/>
    </row>
    <row r="2" spans="1:6" s="65" customFormat="1" x14ac:dyDescent="0.25">
      <c r="A2" s="30" t="s">
        <v>14</v>
      </c>
      <c r="B2" s="30" t="s">
        <v>11</v>
      </c>
      <c r="C2" s="30" t="s">
        <v>15</v>
      </c>
      <c r="D2" s="30" t="s">
        <v>17</v>
      </c>
      <c r="E2" s="30" t="s">
        <v>21</v>
      </c>
      <c r="F2" s="30" t="s">
        <v>15</v>
      </c>
    </row>
    <row r="3" spans="1:6" x14ac:dyDescent="0.25">
      <c r="A3" s="26">
        <f>BEP!A4</f>
        <v>2022</v>
      </c>
      <c r="B3" s="23">
        <f>'Analisa kas'!C9</f>
        <v>0</v>
      </c>
      <c r="C3" s="24">
        <f>'Analisa kas'!C16</f>
        <v>101450000</v>
      </c>
      <c r="D3" s="25">
        <f>NPV!C3</f>
        <v>0.96618357487922713</v>
      </c>
      <c r="E3" s="24">
        <f>B3*D3</f>
        <v>0</v>
      </c>
      <c r="F3" s="24">
        <f>C3*D3</f>
        <v>98019323.671497598</v>
      </c>
    </row>
    <row r="4" spans="1:6" x14ac:dyDescent="0.25">
      <c r="A4" s="26">
        <f>BEP!A5</f>
        <v>2023</v>
      </c>
      <c r="B4" s="24">
        <f>'Analisa kas'!D9</f>
        <v>69816666.666666672</v>
      </c>
      <c r="C4" s="24">
        <f>'Analisa kas'!D16</f>
        <v>137450000</v>
      </c>
      <c r="D4" s="25">
        <f>NPV!C4</f>
        <v>0.93351070036640305</v>
      </c>
      <c r="E4" s="24">
        <f t="shared" ref="E4:E20" si="0">B4*D4</f>
        <v>65174605.397247709</v>
      </c>
      <c r="F4" s="24">
        <f>C4*D4</f>
        <v>128311045.7653621</v>
      </c>
    </row>
    <row r="5" spans="1:6" x14ac:dyDescent="0.25">
      <c r="A5" s="26">
        <f>BEP!A6</f>
        <v>2024</v>
      </c>
      <c r="B5" s="24">
        <f>'Analisa kas'!E9</f>
        <v>73321463.333333343</v>
      </c>
      <c r="C5" s="24">
        <f>'Analisa kas'!E16</f>
        <v>36950400</v>
      </c>
      <c r="D5" s="25">
        <f>NPV!C5</f>
        <v>0.90194270566802237</v>
      </c>
      <c r="E5" s="24">
        <f t="shared" si="0"/>
        <v>66131759.022405371</v>
      </c>
      <c r="F5" s="24">
        <f>C5*D5</f>
        <v>33327143.751515694</v>
      </c>
    </row>
    <row r="6" spans="1:6" x14ac:dyDescent="0.25">
      <c r="A6" s="26">
        <f>BEP!A7</f>
        <v>2025</v>
      </c>
      <c r="B6" s="24">
        <f>'Analisa kas'!F9</f>
        <v>77002200.792666674</v>
      </c>
      <c r="C6" s="24">
        <f>'Analisa kas'!F16</f>
        <v>37925890.559999995</v>
      </c>
      <c r="D6" s="25">
        <f>NPV!C6</f>
        <v>0.87144222769857238</v>
      </c>
      <c r="E6" s="24">
        <f t="shared" si="0"/>
        <v>67102969.396454223</v>
      </c>
      <c r="F6" s="24">
        <f t="shared" ref="F6:F22" si="1">C6*D6</f>
        <v>33050222.557058651</v>
      </c>
    </row>
    <row r="7" spans="1:6" x14ac:dyDescent="0.25">
      <c r="A7" s="26">
        <f>BEP!A8</f>
        <v>2026</v>
      </c>
      <c r="B7" s="24">
        <f>'Analisa kas'!G9</f>
        <v>80867711.272458538</v>
      </c>
      <c r="C7" s="24">
        <f>'Analisa kas'!G16</f>
        <v>38927134.070784003</v>
      </c>
      <c r="D7" s="25">
        <f>NPV!C7</f>
        <v>0.84197316685852419</v>
      </c>
      <c r="E7" s="24">
        <f t="shared" si="0"/>
        <v>68088442.956672683</v>
      </c>
      <c r="F7" s="24">
        <f t="shared" si="1"/>
        <v>32775602.350304361</v>
      </c>
    </row>
    <row r="8" spans="1:6" x14ac:dyDescent="0.25">
      <c r="A8" s="26">
        <f>BEP!A9</f>
        <v>2027</v>
      </c>
      <c r="B8" s="24">
        <f>'Analisa kas'!H9</f>
        <v>84927270.378335953</v>
      </c>
      <c r="C8" s="24">
        <f>'Analisa kas'!H16</f>
        <v>39954810.410252698</v>
      </c>
      <c r="D8" s="25">
        <f>NPV!C8</f>
        <v>0.81350064430775282</v>
      </c>
      <c r="E8" s="24">
        <f t="shared" si="0"/>
        <v>69088389.172075033</v>
      </c>
      <c r="F8" s="24">
        <f t="shared" si="1"/>
        <v>32503264.011934679</v>
      </c>
    </row>
    <row r="9" spans="1:6" x14ac:dyDescent="0.25">
      <c r="A9" s="26">
        <f>BEP!A10</f>
        <v>2028</v>
      </c>
      <c r="B9" s="24">
        <f>'Analisa kas'!I9</f>
        <v>89190619.351328418</v>
      </c>
      <c r="C9" s="24">
        <f>'Analisa kas'!I16</f>
        <v>41009617.405083366</v>
      </c>
      <c r="D9" s="25">
        <f>NPV!C9</f>
        <v>0.78599096068381913</v>
      </c>
      <c r="E9" s="24">
        <f t="shared" si="0"/>
        <v>70103020.587935448</v>
      </c>
      <c r="F9" s="24">
        <f t="shared" si="1"/>
        <v>32233188.581497345</v>
      </c>
    </row>
    <row r="10" spans="1:6" x14ac:dyDescent="0.25">
      <c r="A10" s="26">
        <f>BEP!A11</f>
        <v>2029</v>
      </c>
      <c r="B10" s="24">
        <f>'Analisa kas'!J9</f>
        <v>93667988.442765102</v>
      </c>
      <c r="C10" s="24">
        <f>'Analisa kas'!J16</f>
        <v>42092271.304577567</v>
      </c>
      <c r="D10" s="25">
        <f>NPV!C10</f>
        <v>0.75941155621625056</v>
      </c>
      <c r="E10" s="24">
        <f t="shared" si="0"/>
        <v>71132552.870966017</v>
      </c>
      <c r="F10" s="24">
        <f t="shared" si="1"/>
        <v>31965357.256085876</v>
      </c>
    </row>
    <row r="11" spans="1:6" x14ac:dyDescent="0.25">
      <c r="A11" s="26">
        <f>BEP!A12</f>
        <v>2030</v>
      </c>
      <c r="B11" s="24">
        <f>'Analisa kas'!K9</f>
        <v>98370121.462591916</v>
      </c>
      <c r="C11" s="24">
        <f>'Analisa kas'!K16</f>
        <v>43203507.267018415</v>
      </c>
      <c r="D11" s="25">
        <f>NPV!C11</f>
        <v>0.73373097218961414</v>
      </c>
      <c r="E11" s="24">
        <f t="shared" si="0"/>
        <v>72177204.855158001</v>
      </c>
      <c r="F11" s="24">
        <f t="shared" si="1"/>
        <v>31699751.389030483</v>
      </c>
    </row>
    <row r="12" spans="1:6" x14ac:dyDescent="0.25">
      <c r="A12" s="26">
        <f>BEP!A13</f>
        <v>2031</v>
      </c>
      <c r="B12" s="24">
        <f>'Analisa kas'!L9</f>
        <v>103308301.56001402</v>
      </c>
      <c r="C12" s="24">
        <f>'Analisa kas'!L16</f>
        <v>44344079.858867705</v>
      </c>
      <c r="D12" s="25">
        <f>NPV!C12</f>
        <v>0.70891881370977217</v>
      </c>
      <c r="E12" s="24">
        <f t="shared" si="0"/>
        <v>73237198.588296548</v>
      </c>
      <c r="F12" s="24">
        <f t="shared" si="1"/>
        <v>31436352.488599893</v>
      </c>
    </row>
    <row r="13" spans="1:6" x14ac:dyDescent="0.25">
      <c r="A13" s="26">
        <f>BEP!A14</f>
        <v>2032</v>
      </c>
      <c r="B13" s="24">
        <f>'Analisa kas'!M9</f>
        <v>108494378.29832673</v>
      </c>
      <c r="C13" s="24">
        <f>'Analisa kas'!M16</f>
        <v>45514763.567141809</v>
      </c>
      <c r="D13" s="25">
        <f>NPV!C13</f>
        <v>0.68494571372924851</v>
      </c>
      <c r="E13" s="24">
        <f t="shared" si="0"/>
        <v>74312759.379158497</v>
      </c>
      <c r="F13" s="24">
        <f t="shared" si="1"/>
        <v>31175142.216713943</v>
      </c>
    </row>
    <row r="14" spans="1:6" x14ac:dyDescent="0.25">
      <c r="A14" s="26">
        <f>BEP!A15</f>
        <v>2033</v>
      </c>
      <c r="B14" s="24">
        <f>'Analisa kas'!N9</f>
        <v>113940796.08890273</v>
      </c>
      <c r="C14" s="24">
        <f>'Analisa kas'!N16</f>
        <v>46716353.325314358</v>
      </c>
      <c r="D14" s="25">
        <f>NPV!C14</f>
        <v>0.66178329828912896</v>
      </c>
      <c r="E14" s="24">
        <f t="shared" si="0"/>
        <v>75404115.845403135</v>
      </c>
      <c r="F14" s="24">
        <f t="shared" si="1"/>
        <v>30916102.387666855</v>
      </c>
    </row>
    <row r="15" spans="1:6" x14ac:dyDescent="0.25">
      <c r="A15" s="26">
        <f>BEP!A16</f>
        <v>2034</v>
      </c>
      <c r="B15" s="24">
        <f>'Analisa kas'!O9</f>
        <v>119660624.05256565</v>
      </c>
      <c r="C15" s="24">
        <f>'Analisa kas'!O16</f>
        <v>47949665.053102657</v>
      </c>
      <c r="D15" s="25">
        <f>NPV!C15</f>
        <v>0.63940415293635666</v>
      </c>
      <c r="E15" s="24">
        <f t="shared" si="0"/>
        <v>76511499.962166563</v>
      </c>
      <c r="F15" s="24">
        <f t="shared" si="1"/>
        <v>30659214.966861129</v>
      </c>
    </row>
    <row r="16" spans="1:6" x14ac:dyDescent="0.25">
      <c r="A16" s="26">
        <f>BEP!A17</f>
        <v>2035</v>
      </c>
      <c r="B16" s="24">
        <f>'Analisa kas'!P9</f>
        <v>125667587.38000445</v>
      </c>
      <c r="C16" s="24">
        <f>'Analisa kas'!P16</f>
        <v>49215536.210504569</v>
      </c>
      <c r="D16" s="25">
        <f>NPV!C16</f>
        <v>0.61778179027667302</v>
      </c>
      <c r="E16" s="24">
        <f t="shared" si="0"/>
        <v>77635147.111369386</v>
      </c>
      <c r="F16" s="24">
        <f t="shared" si="1"/>
        <v>30404462.069551941</v>
      </c>
    </row>
    <row r="17" spans="1:6" x14ac:dyDescent="0.25">
      <c r="A17" s="26">
        <f>BEP!A18</f>
        <v>2036</v>
      </c>
      <c r="B17" s="24">
        <f>'Analisa kas'!Q9</f>
        <v>131976100.26648067</v>
      </c>
      <c r="C17" s="24">
        <f>'Analisa kas'!Q16</f>
        <v>50514826.366461888</v>
      </c>
      <c r="D17" s="25">
        <f>NPV!C17</f>
        <v>0.59689061862480497</v>
      </c>
      <c r="E17" s="24">
        <f t="shared" si="0"/>
        <v>78775296.13174893</v>
      </c>
      <c r="F17" s="24">
        <f t="shared" si="1"/>
        <v>30151825.959602047</v>
      </c>
    </row>
    <row r="18" spans="1:6" x14ac:dyDescent="0.25">
      <c r="A18" s="26">
        <f>BEP!A19</f>
        <v>2037</v>
      </c>
      <c r="B18" s="24">
        <f>'Analisa kas'!R9</f>
        <v>138601300.49985799</v>
      </c>
      <c r="C18" s="24">
        <f>'Analisa kas'!R16</f>
        <v>51848417.782536492</v>
      </c>
      <c r="D18" s="25">
        <f>NPV!C18</f>
        <v>0.57670591171478747</v>
      </c>
      <c r="E18" s="24">
        <f t="shared" si="0"/>
        <v>79932189.369625837</v>
      </c>
      <c r="F18" s="24">
        <f t="shared" si="1"/>
        <v>29901289.048246905</v>
      </c>
    </row>
    <row r="19" spans="1:6" x14ac:dyDescent="0.25">
      <c r="A19" s="26">
        <f>BEP!A20</f>
        <v>2038</v>
      </c>
      <c r="B19" s="24">
        <f>'Analisa kas'!S9</f>
        <v>145559085.78495085</v>
      </c>
      <c r="C19" s="24">
        <f>'Analisa kas'!S16</f>
        <v>53217216.01199545</v>
      </c>
      <c r="D19" s="25">
        <f>NPV!C19</f>
        <v>0.55720377943457733</v>
      </c>
      <c r="E19" s="24">
        <f t="shared" si="0"/>
        <v>81106072.730416477</v>
      </c>
      <c r="F19" s="24">
        <f t="shared" si="1"/>
        <v>29652833.892870169</v>
      </c>
    </row>
    <row r="20" spans="1:6" x14ac:dyDescent="0.25">
      <c r="A20" s="26">
        <f>BEP!A21</f>
        <v>2039</v>
      </c>
      <c r="B20" s="24">
        <f>'Analisa kas'!T9</f>
        <v>152866151.8913554</v>
      </c>
      <c r="C20" s="24">
        <f>'Analisa kas'!T16</f>
        <v>54622150.51471211</v>
      </c>
      <c r="D20" s="25">
        <f>NPV!C20</f>
        <v>0.53836113955031628</v>
      </c>
      <c r="E20" s="24">
        <f t="shared" si="0"/>
        <v>82297195.730901822</v>
      </c>
      <c r="F20" s="24">
        <f t="shared" si="1"/>
        <v>29406443.195789307</v>
      </c>
    </row>
    <row r="21" spans="1:6" s="21" customFormat="1" x14ac:dyDescent="0.25">
      <c r="A21" s="26">
        <f>BEP!A22</f>
        <v>2040</v>
      </c>
      <c r="B21" s="24">
        <f>'Analisa kas'!U9</f>
        <v>160540032.71630144</v>
      </c>
      <c r="C21" s="24">
        <f>'Analisa kas'!U16</f>
        <v>56064175.288300522</v>
      </c>
      <c r="D21" s="25">
        <f>NPV!C21</f>
        <v>0.52015569038677911</v>
      </c>
      <c r="E21" s="24">
        <f>B21*D21</f>
        <v>83505811.552263886</v>
      </c>
      <c r="F21" s="24">
        <f t="shared" si="1"/>
        <v>29162099.80305136</v>
      </c>
    </row>
    <row r="22" spans="1:6" s="21" customFormat="1" x14ac:dyDescent="0.25">
      <c r="A22" s="26">
        <f>BEP!A23</f>
        <v>2041</v>
      </c>
      <c r="B22" s="24">
        <f>'Analisa kas'!V9</f>
        <v>166174987.86464363</v>
      </c>
      <c r="C22" s="24">
        <f>'Analisa kas'!V16</f>
        <v>57544269.515911646</v>
      </c>
      <c r="D22" s="25">
        <f>NPV!C22</f>
        <v>0.50256588443167061</v>
      </c>
      <c r="E22" s="24">
        <f>B22*D22</f>
        <v>83513879.746616751</v>
      </c>
      <c r="F22" s="24">
        <f t="shared" si="1"/>
        <v>28919786.703238558</v>
      </c>
    </row>
    <row r="23" spans="1:6" s="65" customFormat="1" x14ac:dyDescent="0.25">
      <c r="A23" s="39"/>
      <c r="B23" s="39"/>
      <c r="C23" s="39"/>
      <c r="D23" s="39" t="s">
        <v>19</v>
      </c>
      <c r="E23" s="69">
        <f>SUM(E3:E22)</f>
        <v>1415230110.4068823</v>
      </c>
      <c r="F23" s="69">
        <f>SUM(F3:F22)</f>
        <v>785670452.06647897</v>
      </c>
    </row>
    <row r="24" spans="1:6" s="65" customFormat="1" x14ac:dyDescent="0.25">
      <c r="A24" s="39"/>
      <c r="B24" s="39"/>
      <c r="C24" s="39"/>
      <c r="D24" s="39"/>
      <c r="E24" s="30" t="s">
        <v>22</v>
      </c>
      <c r="F24" s="70">
        <f>E23/F23</f>
        <v>1.8013024502633752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521F-F9E3-477A-A7C0-B43A00BC1854}">
  <dimension ref="A1:M25"/>
  <sheetViews>
    <sheetView tabSelected="1" topLeftCell="G7" workbookViewId="0">
      <selection activeCell="K19" sqref="K19"/>
    </sheetView>
  </sheetViews>
  <sheetFormatPr defaultRowHeight="15" x14ac:dyDescent="0.25"/>
  <cols>
    <col min="2" max="2" width="16.5703125" customWidth="1"/>
    <col min="3" max="3" width="12.42578125" customWidth="1"/>
    <col min="4" max="4" width="15.85546875" customWidth="1"/>
    <col min="7" max="7" width="16.42578125" customWidth="1"/>
    <col min="8" max="8" width="14.85546875" customWidth="1"/>
    <col min="9" max="9" width="17.5703125" customWidth="1"/>
    <col min="11" max="12" width="11.140625" bestFit="1" customWidth="1"/>
    <col min="13" max="13" width="12.7109375" bestFit="1" customWidth="1"/>
  </cols>
  <sheetData>
    <row r="1" spans="1:13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</row>
    <row r="2" spans="1:13" s="65" customFormat="1" x14ac:dyDescent="0.25">
      <c r="A2" s="30" t="s">
        <v>14</v>
      </c>
      <c r="B2" s="30" t="s">
        <v>68</v>
      </c>
      <c r="C2" s="30" t="s">
        <v>17</v>
      </c>
      <c r="D2" s="30" t="s">
        <v>56</v>
      </c>
      <c r="E2" s="64"/>
      <c r="F2" s="30" t="s">
        <v>14</v>
      </c>
      <c r="G2" s="30" t="s">
        <v>68</v>
      </c>
      <c r="H2" s="30" t="s">
        <v>17</v>
      </c>
      <c r="I2" s="30" t="s">
        <v>57</v>
      </c>
      <c r="K2" s="66"/>
      <c r="M2" s="67"/>
    </row>
    <row r="3" spans="1:13" x14ac:dyDescent="0.25">
      <c r="A3" s="26">
        <v>1</v>
      </c>
      <c r="B3" s="24">
        <f>'Analisa kas'!C20</f>
        <v>-101450000</v>
      </c>
      <c r="C3" s="27">
        <f>1/(1+10%)^A3</f>
        <v>0.90909090909090906</v>
      </c>
      <c r="D3" s="24">
        <f t="shared" ref="D3:D22" si="0">B3*C3</f>
        <v>-92227272.727272719</v>
      </c>
      <c r="E3" s="22"/>
      <c r="F3" s="23">
        <v>1</v>
      </c>
      <c r="G3" s="24">
        <f>B3</f>
        <v>-101450000</v>
      </c>
      <c r="H3" s="27">
        <f>1/(1+25%)^F3</f>
        <v>0.8</v>
      </c>
      <c r="I3" s="24">
        <f t="shared" ref="I3" si="1">G3*H3</f>
        <v>-81160000</v>
      </c>
      <c r="M3" s="47"/>
    </row>
    <row r="4" spans="1:13" x14ac:dyDescent="0.25">
      <c r="A4" s="26">
        <v>2</v>
      </c>
      <c r="B4" s="24">
        <f>'Analisa kas'!D20</f>
        <v>-72633333.333333328</v>
      </c>
      <c r="C4" s="27">
        <f t="shared" ref="C4:C22" si="2">1/(1+10%)^A4</f>
        <v>0.82644628099173545</v>
      </c>
      <c r="D4" s="24">
        <f>B4*C4</f>
        <v>-60027548.209366381</v>
      </c>
      <c r="E4" s="22"/>
      <c r="F4" s="23">
        <v>2</v>
      </c>
      <c r="G4" s="24">
        <f t="shared" ref="G4:G20" si="3">B4</f>
        <v>-72633333.333333328</v>
      </c>
      <c r="H4" s="27">
        <f t="shared" ref="H4:H22" si="4">1/(1+25%)^F4</f>
        <v>0.64</v>
      </c>
      <c r="I4" s="24">
        <f>G4*H4</f>
        <v>-46485333.333333328</v>
      </c>
    </row>
    <row r="5" spans="1:13" x14ac:dyDescent="0.25">
      <c r="A5" s="26">
        <v>3</v>
      </c>
      <c r="B5" s="24">
        <f>'Analisa kas'!E20</f>
        <v>31121063.333333343</v>
      </c>
      <c r="C5" s="27">
        <f t="shared" si="2"/>
        <v>0.75131480090157754</v>
      </c>
      <c r="D5" s="24">
        <f t="shared" si="0"/>
        <v>23381715.502128724</v>
      </c>
      <c r="E5" s="22"/>
      <c r="F5" s="23">
        <v>3</v>
      </c>
      <c r="G5" s="24">
        <f t="shared" si="3"/>
        <v>31121063.333333343</v>
      </c>
      <c r="H5" s="27">
        <f t="shared" si="4"/>
        <v>0.51200000000000001</v>
      </c>
      <c r="I5" s="24">
        <f t="shared" ref="I5:I14" si="5">G5*H5</f>
        <v>15933984.426666671</v>
      </c>
      <c r="M5" s="48"/>
    </row>
    <row r="6" spans="1:13" x14ac:dyDescent="0.25">
      <c r="A6" s="26">
        <v>4</v>
      </c>
      <c r="B6" s="24">
        <f>'Analisa kas'!F20</f>
        <v>33563810.232666679</v>
      </c>
      <c r="C6" s="27">
        <f t="shared" si="2"/>
        <v>0.68301345536507052</v>
      </c>
      <c r="D6" s="24">
        <f t="shared" si="0"/>
        <v>22924534.002231181</v>
      </c>
      <c r="E6" s="22"/>
      <c r="F6" s="23">
        <v>4</v>
      </c>
      <c r="G6" s="24">
        <f t="shared" si="3"/>
        <v>33563810.232666679</v>
      </c>
      <c r="H6" s="27">
        <f t="shared" si="4"/>
        <v>0.40960000000000002</v>
      </c>
      <c r="I6" s="24">
        <f t="shared" si="5"/>
        <v>13747736.671300272</v>
      </c>
      <c r="K6" t="s">
        <v>54</v>
      </c>
      <c r="L6" s="62">
        <v>0.1</v>
      </c>
    </row>
    <row r="7" spans="1:13" x14ac:dyDescent="0.25">
      <c r="A7" s="26">
        <v>5</v>
      </c>
      <c r="B7" s="24">
        <f>'Analisa kas'!G20</f>
        <v>36152452.201674536</v>
      </c>
      <c r="C7" s="27">
        <f t="shared" si="2"/>
        <v>0.62092132305915493</v>
      </c>
      <c r="D7" s="24">
        <f t="shared" si="0"/>
        <v>22447828.45289661</v>
      </c>
      <c r="E7" s="22"/>
      <c r="F7" s="23">
        <v>5</v>
      </c>
      <c r="G7" s="24">
        <f t="shared" si="3"/>
        <v>36152452.201674536</v>
      </c>
      <c r="H7" s="27">
        <f t="shared" si="4"/>
        <v>0.32768000000000003</v>
      </c>
      <c r="I7" s="24">
        <f t="shared" si="5"/>
        <v>11846435.537444713</v>
      </c>
      <c r="K7" t="s">
        <v>55</v>
      </c>
      <c r="L7" s="62">
        <v>0.25</v>
      </c>
    </row>
    <row r="8" spans="1:13" x14ac:dyDescent="0.25">
      <c r="A8" s="26">
        <v>6</v>
      </c>
      <c r="B8" s="24">
        <f>'Analisa kas'!H20</f>
        <v>38894928.718083255</v>
      </c>
      <c r="C8" s="27">
        <f t="shared" si="2"/>
        <v>0.56447393005377722</v>
      </c>
      <c r="D8" s="24">
        <f t="shared" si="0"/>
        <v>21955173.272657979</v>
      </c>
      <c r="E8" s="22"/>
      <c r="F8" s="23">
        <v>6</v>
      </c>
      <c r="G8" s="24">
        <f t="shared" si="3"/>
        <v>38894928.718083255</v>
      </c>
      <c r="H8" s="27">
        <f t="shared" si="4"/>
        <v>0.26214399999999999</v>
      </c>
      <c r="I8" s="24">
        <f t="shared" si="5"/>
        <v>10196072.193873215</v>
      </c>
      <c r="K8" t="s">
        <v>56</v>
      </c>
      <c r="L8" s="47">
        <f>D23</f>
        <v>190835889.09129059</v>
      </c>
    </row>
    <row r="9" spans="1:13" x14ac:dyDescent="0.25">
      <c r="A9" s="26">
        <v>7</v>
      </c>
      <c r="B9" s="24">
        <f>'Analisa kas'!I20</f>
        <v>41799594.133745052</v>
      </c>
      <c r="C9" s="27">
        <f t="shared" si="2"/>
        <v>0.51315811823070645</v>
      </c>
      <c r="D9" s="24">
        <f t="shared" si="0"/>
        <v>21449801.068479888</v>
      </c>
      <c r="E9" s="22"/>
      <c r="F9" s="23">
        <v>7</v>
      </c>
      <c r="G9" s="24">
        <f t="shared" si="3"/>
        <v>41799594.133745052</v>
      </c>
      <c r="H9" s="27">
        <f t="shared" si="4"/>
        <v>0.20971519999999999</v>
      </c>
      <c r="I9" s="24">
        <f t="shared" si="5"/>
        <v>8766010.2436771691</v>
      </c>
      <c r="K9" t="s">
        <v>57</v>
      </c>
      <c r="L9" s="47">
        <f>I23</f>
        <v>-24268793.772080436</v>
      </c>
    </row>
    <row r="10" spans="1:13" x14ac:dyDescent="0.25">
      <c r="A10" s="26">
        <v>8</v>
      </c>
      <c r="B10" s="24">
        <f>'Analisa kas'!J20</f>
        <v>44875238.935062535</v>
      </c>
      <c r="C10" s="27">
        <f t="shared" si="2"/>
        <v>0.46650738020973315</v>
      </c>
      <c r="D10" s="24">
        <f t="shared" si="0"/>
        <v>20934630.15188184</v>
      </c>
      <c r="E10" s="22"/>
      <c r="F10" s="23">
        <v>8</v>
      </c>
      <c r="G10" s="24">
        <f t="shared" si="3"/>
        <v>44875238.935062535</v>
      </c>
      <c r="H10" s="27">
        <f t="shared" si="4"/>
        <v>0.16777216</v>
      </c>
      <c r="I10" s="24">
        <f t="shared" si="5"/>
        <v>7528815.766651541</v>
      </c>
      <c r="K10" t="s">
        <v>58</v>
      </c>
      <c r="L10" s="62">
        <f>L6+(L8/(L8-L9))*(L7-L6)</f>
        <v>0.23307652340546997</v>
      </c>
    </row>
    <row r="11" spans="1:13" x14ac:dyDescent="0.25">
      <c r="A11" s="26">
        <v>9</v>
      </c>
      <c r="B11" s="24">
        <f>'Analisa kas'!K20</f>
        <v>48131112.082292251</v>
      </c>
      <c r="C11" s="27">
        <f t="shared" si="2"/>
        <v>0.42409761837248466</v>
      </c>
      <c r="D11" s="24">
        <f t="shared" si="0"/>
        <v>20412290.003719267</v>
      </c>
      <c r="E11" s="22"/>
      <c r="F11" s="23">
        <v>9</v>
      </c>
      <c r="G11" s="24">
        <f t="shared" si="3"/>
        <v>48131112.082292251</v>
      </c>
      <c r="H11" s="27">
        <f t="shared" si="4"/>
        <v>0.13421772800000001</v>
      </c>
      <c r="I11" s="24">
        <f t="shared" si="5"/>
        <v>6460048.5097986152</v>
      </c>
    </row>
    <row r="12" spans="1:13" x14ac:dyDescent="0.25">
      <c r="A12" s="26">
        <v>10</v>
      </c>
      <c r="B12" s="24">
        <f>'Analisa kas'!L20</f>
        <v>51576944.48220101</v>
      </c>
      <c r="C12" s="27">
        <f t="shared" si="2"/>
        <v>0.38554328942953148</v>
      </c>
      <c r="D12" s="24">
        <f t="shared" si="0"/>
        <v>19885144.834392101</v>
      </c>
      <c r="E12" s="22"/>
      <c r="F12" s="23">
        <v>10</v>
      </c>
      <c r="G12" s="24">
        <f t="shared" si="3"/>
        <v>51576944.48220101</v>
      </c>
      <c r="H12" s="27">
        <f t="shared" si="4"/>
        <v>0.1073741824</v>
      </c>
      <c r="I12" s="24">
        <f t="shared" si="5"/>
        <v>5538032.2444665246</v>
      </c>
    </row>
    <row r="13" spans="1:13" x14ac:dyDescent="0.25">
      <c r="A13" s="26">
        <v>11</v>
      </c>
      <c r="B13" s="24">
        <f>'Analisa kas'!M20</f>
        <v>55222973.651292339</v>
      </c>
      <c r="C13" s="27">
        <f t="shared" si="2"/>
        <v>0.3504938994813922</v>
      </c>
      <c r="D13" s="24">
        <f t="shared" si="0"/>
        <v>19355315.375999626</v>
      </c>
      <c r="E13" s="22"/>
      <c r="F13" s="23">
        <v>11</v>
      </c>
      <c r="G13" s="24">
        <f t="shared" si="3"/>
        <v>55222973.651292339</v>
      </c>
      <c r="H13" s="27">
        <f t="shared" si="4"/>
        <v>8.5899345919999995E-2</v>
      </c>
      <c r="I13" s="24">
        <f t="shared" si="5"/>
        <v>4743617.3164034057</v>
      </c>
    </row>
    <row r="14" spans="1:13" x14ac:dyDescent="0.25">
      <c r="A14" s="26">
        <v>12</v>
      </c>
      <c r="B14" s="24">
        <f>'Analisa kas'!N20</f>
        <v>59079969.62970116</v>
      </c>
      <c r="C14" s="27">
        <f t="shared" si="2"/>
        <v>0.31863081771035656</v>
      </c>
      <c r="D14" s="24">
        <f t="shared" si="0"/>
        <v>18824699.03341471</v>
      </c>
      <c r="E14" s="22"/>
      <c r="F14" s="23">
        <v>12</v>
      </c>
      <c r="G14" s="24">
        <f t="shared" si="3"/>
        <v>59079969.62970116</v>
      </c>
      <c r="H14" s="27">
        <f t="shared" si="4"/>
        <v>6.8719476735999999E-2</v>
      </c>
      <c r="I14" s="24">
        <f t="shared" si="5"/>
        <v>4059944.5985318352</v>
      </c>
    </row>
    <row r="15" spans="1:13" x14ac:dyDescent="0.25">
      <c r="A15" s="26">
        <v>13</v>
      </c>
      <c r="B15" s="24">
        <f>'Analisa kas'!O20</f>
        <v>63159262.208881423</v>
      </c>
      <c r="C15" s="27">
        <f t="shared" si="2"/>
        <v>0.28966437973668779</v>
      </c>
      <c r="D15" s="24">
        <f>B15*C15</f>
        <v>18294988.512362462</v>
      </c>
      <c r="E15" s="22"/>
      <c r="F15" s="23">
        <v>13</v>
      </c>
      <c r="G15" s="24">
        <f t="shared" si="3"/>
        <v>63159262.208881423</v>
      </c>
      <c r="H15" s="27">
        <f t="shared" si="4"/>
        <v>5.4975581388800002E-2</v>
      </c>
      <c r="I15" s="24">
        <f>G15*H15</f>
        <v>3472217.1600209209</v>
      </c>
    </row>
    <row r="16" spans="1:13" x14ac:dyDescent="0.25">
      <c r="A16" s="26">
        <v>14</v>
      </c>
      <c r="B16" s="24">
        <f>'Analisa kas'!P20</f>
        <v>67472769.539389223</v>
      </c>
      <c r="C16" s="27">
        <f t="shared" si="2"/>
        <v>0.26333125430607973</v>
      </c>
      <c r="D16" s="24">
        <f t="shared" si="0"/>
        <v>17767689.034312412</v>
      </c>
      <c r="E16" s="22"/>
      <c r="F16" s="23">
        <v>14</v>
      </c>
      <c r="G16" s="24">
        <f t="shared" si="3"/>
        <v>67472769.539389223</v>
      </c>
      <c r="H16" s="27">
        <f t="shared" si="4"/>
        <v>4.398046511104E-2</v>
      </c>
      <c r="I16" s="24">
        <f t="shared" ref="I16:I22" si="6">G16*H16</f>
        <v>2967483.78667235</v>
      </c>
    </row>
    <row r="17" spans="1:11" x14ac:dyDescent="0.25">
      <c r="A17" s="26">
        <v>15</v>
      </c>
      <c r="B17" s="24">
        <f>'Analisa kas'!Q20</f>
        <v>72033028.188402593</v>
      </c>
      <c r="C17" s="27">
        <f t="shared" si="2"/>
        <v>0.23939204936916339</v>
      </c>
      <c r="D17" s="24">
        <f t="shared" si="0"/>
        <v>17244134.24028841</v>
      </c>
      <c r="E17" s="22"/>
      <c r="F17" s="23">
        <v>15</v>
      </c>
      <c r="G17" s="24">
        <f t="shared" si="3"/>
        <v>72033028.188402593</v>
      </c>
      <c r="H17" s="27">
        <f t="shared" si="4"/>
        <v>3.5184372088832003E-2</v>
      </c>
      <c r="I17" s="24">
        <f t="shared" si="6"/>
        <v>2534436.8664660812</v>
      </c>
    </row>
    <row r="18" spans="1:11" x14ac:dyDescent="0.25">
      <c r="A18" s="26">
        <v>16</v>
      </c>
      <c r="B18" s="24">
        <f>'Analisa kas'!R20</f>
        <v>76853224.720124513</v>
      </c>
      <c r="C18" s="27">
        <f t="shared" si="2"/>
        <v>0.21762913579014853</v>
      </c>
      <c r="D18" s="24">
        <f t="shared" si="0"/>
        <v>16725500.878526777</v>
      </c>
      <c r="E18" s="22"/>
      <c r="F18" s="23">
        <v>16</v>
      </c>
      <c r="G18" s="24">
        <f t="shared" si="3"/>
        <v>76853224.720124513</v>
      </c>
      <c r="H18" s="27">
        <f t="shared" si="4"/>
        <v>2.8147497671065599E-2</v>
      </c>
      <c r="I18" s="24">
        <f t="shared" si="6"/>
        <v>2163225.9638235858</v>
      </c>
    </row>
    <row r="19" spans="1:11" x14ac:dyDescent="0.25">
      <c r="A19" s="26">
        <v>17</v>
      </c>
      <c r="B19" s="24">
        <f>'Analisa kas'!S20</f>
        <v>81947228.87589857</v>
      </c>
      <c r="C19" s="27">
        <f t="shared" si="2"/>
        <v>0.19784466890013502</v>
      </c>
      <c r="D19" s="24">
        <f t="shared" si="0"/>
        <v>16212822.364235736</v>
      </c>
      <c r="E19" s="22"/>
      <c r="F19" s="23">
        <v>17</v>
      </c>
      <c r="G19" s="24">
        <f t="shared" si="3"/>
        <v>81947228.87589857</v>
      </c>
      <c r="H19" s="27">
        <f t="shared" si="4"/>
        <v>2.2517998136852482E-2</v>
      </c>
      <c r="I19" s="24">
        <f t="shared" si="6"/>
        <v>1845287.5471477078</v>
      </c>
    </row>
    <row r="20" spans="1:11" x14ac:dyDescent="0.25">
      <c r="A20" s="26">
        <v>18</v>
      </c>
      <c r="B20" s="24">
        <f>'Analisa kas'!T20</f>
        <v>87329628.434733599</v>
      </c>
      <c r="C20" s="27">
        <f t="shared" si="2"/>
        <v>0.17985878990921364</v>
      </c>
      <c r="D20" s="24">
        <f t="shared" si="0"/>
        <v>15707001.29349244</v>
      </c>
      <c r="E20" s="22"/>
      <c r="F20" s="23">
        <v>18</v>
      </c>
      <c r="G20" s="24">
        <f t="shared" si="3"/>
        <v>87329628.434733599</v>
      </c>
      <c r="H20" s="27">
        <f t="shared" si="4"/>
        <v>1.8014398509481985E-2</v>
      </c>
      <c r="I20" s="24">
        <f t="shared" si="6"/>
        <v>1573190.7283082805</v>
      </c>
      <c r="K20" t="s">
        <v>31</v>
      </c>
    </row>
    <row r="21" spans="1:11" s="21" customFormat="1" x14ac:dyDescent="0.25">
      <c r="A21" s="26">
        <v>19</v>
      </c>
      <c r="B21" s="24">
        <f>'Analisa kas'!U20</f>
        <v>93015765.838995755</v>
      </c>
      <c r="C21" s="27">
        <f t="shared" si="2"/>
        <v>0.16350799082655781</v>
      </c>
      <c r="D21" s="24">
        <f t="shared" si="0"/>
        <v>15208820.987527767</v>
      </c>
      <c r="E21" s="22"/>
      <c r="F21" s="23">
        <v>19</v>
      </c>
      <c r="G21" s="24">
        <f>B21</f>
        <v>93015765.838995755</v>
      </c>
      <c r="H21" s="27">
        <f t="shared" si="4"/>
        <v>1.4411518807585587E-2</v>
      </c>
      <c r="I21" s="24">
        <f t="shared" si="6"/>
        <v>1340498.4587906643</v>
      </c>
      <c r="J21" s="21" t="s">
        <v>31</v>
      </c>
      <c r="K21" s="21" t="s">
        <v>31</v>
      </c>
    </row>
    <row r="22" spans="1:11" s="21" customFormat="1" x14ac:dyDescent="0.25">
      <c r="A22" s="26">
        <v>20</v>
      </c>
      <c r="B22" s="24">
        <f>'Analisa kas'!V20</f>
        <v>96597622.180276573</v>
      </c>
      <c r="C22" s="27">
        <f t="shared" si="2"/>
        <v>0.14864362802414349</v>
      </c>
      <c r="D22" s="24">
        <f t="shared" si="0"/>
        <v>14358621.019381784</v>
      </c>
      <c r="E22" s="22"/>
      <c r="F22" s="23">
        <v>20</v>
      </c>
      <c r="G22" s="24">
        <f>B22</f>
        <v>96597622.180276573</v>
      </c>
      <c r="H22" s="27">
        <f t="shared" si="4"/>
        <v>1.1529215046068469E-2</v>
      </c>
      <c r="I22" s="24">
        <f t="shared" si="6"/>
        <v>1113694.759055282</v>
      </c>
      <c r="K22" s="47"/>
    </row>
    <row r="23" spans="1:11" x14ac:dyDescent="0.25">
      <c r="A23" s="28"/>
      <c r="B23" s="29"/>
      <c r="C23" s="30" t="s">
        <v>19</v>
      </c>
      <c r="D23" s="31">
        <f>SUM(D3:D22)</f>
        <v>190835889.09129059</v>
      </c>
      <c r="E23" s="22"/>
      <c r="F23" s="28"/>
      <c r="G23" s="29"/>
      <c r="H23" s="30" t="s">
        <v>19</v>
      </c>
      <c r="I23" s="31">
        <f>SUM(I3:I20)</f>
        <v>-24268793.772080436</v>
      </c>
      <c r="K23" s="47"/>
    </row>
    <row r="24" spans="1:11" x14ac:dyDescent="0.25">
      <c r="K24" s="47"/>
    </row>
    <row r="25" spans="1:11" x14ac:dyDescent="0.25">
      <c r="K25" s="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17F0-0FAD-4E08-9286-DDEE574C51F9}">
  <dimension ref="A1:Q29"/>
  <sheetViews>
    <sheetView zoomScale="95" zoomScaleNormal="95" workbookViewId="0">
      <selection activeCell="F31" sqref="F31"/>
    </sheetView>
  </sheetViews>
  <sheetFormatPr defaultRowHeight="15" x14ac:dyDescent="0.25"/>
  <cols>
    <col min="3" max="3" width="14.28515625" customWidth="1"/>
    <col min="4" max="4" width="12.42578125" customWidth="1"/>
    <col min="5" max="5" width="12.7109375" customWidth="1"/>
    <col min="6" max="6" width="13.28515625" customWidth="1"/>
    <col min="7" max="7" width="16.28515625" customWidth="1"/>
    <col min="11" max="11" width="14.7109375" customWidth="1"/>
    <col min="12" max="12" width="13" customWidth="1"/>
    <col min="13" max="13" width="13.42578125" customWidth="1"/>
    <col min="14" max="14" width="12.42578125" customWidth="1"/>
    <col min="15" max="15" width="11" customWidth="1"/>
    <col min="16" max="16" width="12.85546875" customWidth="1"/>
    <col min="17" max="17" width="14.85546875" customWidth="1"/>
  </cols>
  <sheetData>
    <row r="1" spans="1:17" s="65" customFormat="1" x14ac:dyDescent="0.25">
      <c r="A1" s="81" t="s">
        <v>24</v>
      </c>
      <c r="B1" s="81" t="s">
        <v>14</v>
      </c>
      <c r="C1" s="81" t="s">
        <v>25</v>
      </c>
      <c r="D1" s="81" t="s">
        <v>15</v>
      </c>
      <c r="E1" s="81"/>
      <c r="F1" s="81" t="s">
        <v>26</v>
      </c>
      <c r="G1" s="81" t="s">
        <v>27</v>
      </c>
      <c r="H1" s="78"/>
      <c r="I1" s="80" t="s">
        <v>24</v>
      </c>
      <c r="J1" s="80" t="s">
        <v>14</v>
      </c>
      <c r="K1" s="80" t="s">
        <v>25</v>
      </c>
      <c r="L1" s="80" t="s">
        <v>15</v>
      </c>
      <c r="M1" s="80"/>
      <c r="N1" s="80" t="s">
        <v>26</v>
      </c>
      <c r="O1" s="82" t="s">
        <v>17</v>
      </c>
      <c r="P1" s="82" t="s">
        <v>28</v>
      </c>
      <c r="Q1" s="80" t="s">
        <v>27</v>
      </c>
    </row>
    <row r="2" spans="1:17" s="65" customFormat="1" x14ac:dyDescent="0.25">
      <c r="A2" s="81"/>
      <c r="B2" s="81"/>
      <c r="C2" s="81"/>
      <c r="D2" s="79" t="s">
        <v>29</v>
      </c>
      <c r="E2" s="79" t="s">
        <v>30</v>
      </c>
      <c r="F2" s="81"/>
      <c r="G2" s="81"/>
      <c r="H2" s="78"/>
      <c r="I2" s="80"/>
      <c r="J2" s="80"/>
      <c r="K2" s="80"/>
      <c r="L2" s="68" t="s">
        <v>29</v>
      </c>
      <c r="M2" s="68" t="s">
        <v>30</v>
      </c>
      <c r="N2" s="80"/>
      <c r="O2" s="83"/>
      <c r="P2" s="83"/>
      <c r="Q2" s="80"/>
    </row>
    <row r="3" spans="1:17" x14ac:dyDescent="0.25">
      <c r="A3" s="33">
        <v>1</v>
      </c>
      <c r="B3" s="26">
        <f>BCR!A3</f>
        <v>2022</v>
      </c>
      <c r="C3" s="33"/>
      <c r="D3" s="35">
        <f>'Analisa kas'!C16</f>
        <v>101450000</v>
      </c>
      <c r="E3" s="35">
        <f>'Analisa kas'!C12</f>
        <v>101450000</v>
      </c>
      <c r="F3" s="35">
        <f>IRR!B3</f>
        <v>-101450000</v>
      </c>
      <c r="G3" s="35">
        <f>F3</f>
        <v>-101450000</v>
      </c>
      <c r="H3" s="32"/>
      <c r="I3" s="34">
        <v>1</v>
      </c>
      <c r="J3" s="26">
        <f>B3</f>
        <v>2022</v>
      </c>
      <c r="K3" s="34">
        <f>C3</f>
        <v>0</v>
      </c>
      <c r="L3" s="36">
        <f>D3</f>
        <v>101450000</v>
      </c>
      <c r="M3" s="36">
        <f>E3</f>
        <v>101450000</v>
      </c>
      <c r="N3" s="36">
        <f>F3</f>
        <v>-101450000</v>
      </c>
      <c r="O3" s="37">
        <f>NPV!C3</f>
        <v>0.96618357487922713</v>
      </c>
      <c r="P3" s="36">
        <f>N3*O3</f>
        <v>-98019323.671497598</v>
      </c>
      <c r="Q3" s="36">
        <f>P3</f>
        <v>-98019323.671497598</v>
      </c>
    </row>
    <row r="4" spans="1:17" x14ac:dyDescent="0.25">
      <c r="A4" s="33">
        <v>2</v>
      </c>
      <c r="B4" s="26">
        <f>BCR!A4</f>
        <v>2023</v>
      </c>
      <c r="C4" s="35">
        <f>BCR!B4</f>
        <v>69816666.666666672</v>
      </c>
      <c r="D4" s="35">
        <f>'Analisa kas'!D16</f>
        <v>137450000</v>
      </c>
      <c r="E4" s="35">
        <f>E3</f>
        <v>101450000</v>
      </c>
      <c r="F4" s="35">
        <f>IRR!B4</f>
        <v>-72633333.333333328</v>
      </c>
      <c r="G4" s="35">
        <f t="shared" ref="G4:G20" si="0">F4</f>
        <v>-72633333.333333328</v>
      </c>
      <c r="H4" s="32"/>
      <c r="I4" s="34">
        <v>2</v>
      </c>
      <c r="J4" s="26">
        <f t="shared" ref="J4:J22" si="1">B4</f>
        <v>2023</v>
      </c>
      <c r="K4" s="34">
        <f t="shared" ref="K4:N21" si="2">C4</f>
        <v>69816666.666666672</v>
      </c>
      <c r="L4" s="36">
        <f t="shared" si="2"/>
        <v>137450000</v>
      </c>
      <c r="M4" s="36">
        <f t="shared" si="2"/>
        <v>101450000</v>
      </c>
      <c r="N4" s="36">
        <f t="shared" si="2"/>
        <v>-72633333.333333328</v>
      </c>
      <c r="O4" s="37">
        <f>NPV!C4</f>
        <v>0.93351070036640305</v>
      </c>
      <c r="P4" s="36">
        <f t="shared" ref="P4:P22" si="3">N4*O4</f>
        <v>-67803993.869946405</v>
      </c>
      <c r="Q4" s="36">
        <f t="shared" ref="Q4:Q22" si="4">P4</f>
        <v>-67803993.869946405</v>
      </c>
    </row>
    <row r="5" spans="1:17" x14ac:dyDescent="0.25">
      <c r="A5" s="33">
        <v>3</v>
      </c>
      <c r="B5" s="26">
        <f>BCR!A5</f>
        <v>2024</v>
      </c>
      <c r="C5" s="35">
        <f>BCR!B5</f>
        <v>73321463.333333343</v>
      </c>
      <c r="D5" s="35">
        <f>'Analisa kas'!E16</f>
        <v>36950400</v>
      </c>
      <c r="E5" s="33">
        <v>0</v>
      </c>
      <c r="F5" s="35">
        <f>IRR!B5</f>
        <v>31121063.333333343</v>
      </c>
      <c r="G5" s="35">
        <f t="shared" si="0"/>
        <v>31121063.333333343</v>
      </c>
      <c r="H5" s="32"/>
      <c r="I5" s="34">
        <v>3</v>
      </c>
      <c r="J5" s="26">
        <f t="shared" si="1"/>
        <v>2024</v>
      </c>
      <c r="K5" s="34">
        <f t="shared" si="2"/>
        <v>73321463.333333343</v>
      </c>
      <c r="L5" s="36">
        <f t="shared" si="2"/>
        <v>36950400</v>
      </c>
      <c r="M5" s="36">
        <f t="shared" si="2"/>
        <v>0</v>
      </c>
      <c r="N5" s="36">
        <f t="shared" si="2"/>
        <v>31121063.333333343</v>
      </c>
      <c r="O5" s="37">
        <f>NPV!C5</f>
        <v>0.90194270566802237</v>
      </c>
      <c r="P5" s="36">
        <f t="shared" si="3"/>
        <v>28069416.06613256</v>
      </c>
      <c r="Q5" s="36">
        <f t="shared" si="4"/>
        <v>28069416.06613256</v>
      </c>
    </row>
    <row r="6" spans="1:17" x14ac:dyDescent="0.25">
      <c r="A6" s="33">
        <v>4</v>
      </c>
      <c r="B6" s="26">
        <f>BCR!A6</f>
        <v>2025</v>
      </c>
      <c r="C6" s="35">
        <f>BCR!B6</f>
        <v>77002200.792666674</v>
      </c>
      <c r="D6" s="35">
        <f>'Analisa kas'!F16</f>
        <v>37925890.559999995</v>
      </c>
      <c r="E6" s="33">
        <v>0</v>
      </c>
      <c r="F6" s="35">
        <f>IRR!B6</f>
        <v>33563810.232666679</v>
      </c>
      <c r="G6" s="35">
        <f t="shared" si="0"/>
        <v>33563810.232666679</v>
      </c>
      <c r="H6" s="32"/>
      <c r="I6" s="34">
        <v>4</v>
      </c>
      <c r="J6" s="26">
        <f t="shared" si="1"/>
        <v>2025</v>
      </c>
      <c r="K6" s="34">
        <f t="shared" si="2"/>
        <v>77002200.792666674</v>
      </c>
      <c r="L6" s="36">
        <f t="shared" si="2"/>
        <v>37925890.559999995</v>
      </c>
      <c r="M6" s="36">
        <f t="shared" si="2"/>
        <v>0</v>
      </c>
      <c r="N6" s="36">
        <f t="shared" si="2"/>
        <v>33563810.232666679</v>
      </c>
      <c r="O6" s="37">
        <f>NPV!C6</f>
        <v>0.87144222769857238</v>
      </c>
      <c r="P6" s="36">
        <f t="shared" si="3"/>
        <v>29248921.55920719</v>
      </c>
      <c r="Q6" s="36">
        <f t="shared" si="4"/>
        <v>29248921.55920719</v>
      </c>
    </row>
    <row r="7" spans="1:17" x14ac:dyDescent="0.25">
      <c r="A7" s="33">
        <v>5</v>
      </c>
      <c r="B7" s="26">
        <f>BCR!A7</f>
        <v>2026</v>
      </c>
      <c r="C7" s="35">
        <f>BCR!B7</f>
        <v>80867711.272458538</v>
      </c>
      <c r="D7" s="35">
        <f>'Analisa kas'!G16</f>
        <v>38927134.070784003</v>
      </c>
      <c r="E7" s="33">
        <v>0</v>
      </c>
      <c r="F7" s="35">
        <f>IRR!B7</f>
        <v>36152452.201674536</v>
      </c>
      <c r="G7" s="35">
        <f t="shared" si="0"/>
        <v>36152452.201674536</v>
      </c>
      <c r="H7" s="32"/>
      <c r="I7" s="34">
        <v>5</v>
      </c>
      <c r="J7" s="26">
        <f t="shared" si="1"/>
        <v>2026</v>
      </c>
      <c r="K7" s="34">
        <f t="shared" si="2"/>
        <v>80867711.272458538</v>
      </c>
      <c r="L7" s="36">
        <f t="shared" si="2"/>
        <v>38927134.070784003</v>
      </c>
      <c r="M7" s="36">
        <f t="shared" si="2"/>
        <v>0</v>
      </c>
      <c r="N7" s="36">
        <f t="shared" si="2"/>
        <v>36152452.201674536</v>
      </c>
      <c r="O7" s="37">
        <f>NPV!C7</f>
        <v>0.84197316685852419</v>
      </c>
      <c r="P7" s="36">
        <f t="shared" si="3"/>
        <v>30439394.669945333</v>
      </c>
      <c r="Q7" s="36">
        <f t="shared" si="4"/>
        <v>30439394.669945333</v>
      </c>
    </row>
    <row r="8" spans="1:17" x14ac:dyDescent="0.25">
      <c r="A8" s="33">
        <v>6</v>
      </c>
      <c r="B8" s="26">
        <f>BCR!A8</f>
        <v>2027</v>
      </c>
      <c r="C8" s="35">
        <f>BCR!B8</f>
        <v>84927270.378335953</v>
      </c>
      <c r="D8" s="35">
        <f>'Analisa kas'!H16</f>
        <v>39954810.410252698</v>
      </c>
      <c r="E8" s="33">
        <v>0</v>
      </c>
      <c r="F8" s="35">
        <f>IRR!B8</f>
        <v>38894928.718083255</v>
      </c>
      <c r="G8" s="35">
        <f t="shared" si="0"/>
        <v>38894928.718083255</v>
      </c>
      <c r="H8" s="32"/>
      <c r="I8" s="34">
        <v>6</v>
      </c>
      <c r="J8" s="26">
        <f t="shared" si="1"/>
        <v>2027</v>
      </c>
      <c r="K8" s="34">
        <f t="shared" si="2"/>
        <v>84927270.378335953</v>
      </c>
      <c r="L8" s="36">
        <f t="shared" si="2"/>
        <v>39954810.410252698</v>
      </c>
      <c r="M8" s="36">
        <f t="shared" si="2"/>
        <v>0</v>
      </c>
      <c r="N8" s="36">
        <f t="shared" si="2"/>
        <v>38894928.718083255</v>
      </c>
      <c r="O8" s="37">
        <f>NPV!C8</f>
        <v>0.81350064430775282</v>
      </c>
      <c r="P8" s="36">
        <f t="shared" si="3"/>
        <v>31641049.572464846</v>
      </c>
      <c r="Q8" s="36">
        <f t="shared" si="4"/>
        <v>31641049.572464846</v>
      </c>
    </row>
    <row r="9" spans="1:17" x14ac:dyDescent="0.25">
      <c r="A9" s="33">
        <v>7</v>
      </c>
      <c r="B9" s="26">
        <f>BCR!A9</f>
        <v>2028</v>
      </c>
      <c r="C9" s="35">
        <f>BCR!B9</f>
        <v>89190619.351328418</v>
      </c>
      <c r="D9" s="35">
        <f>'Analisa kas'!I16</f>
        <v>41009617.405083366</v>
      </c>
      <c r="E9" s="33">
        <v>0</v>
      </c>
      <c r="F9" s="35">
        <f>IRR!B9</f>
        <v>41799594.133745052</v>
      </c>
      <c r="G9" s="35">
        <f t="shared" si="0"/>
        <v>41799594.133745052</v>
      </c>
      <c r="H9" s="32"/>
      <c r="I9" s="34">
        <v>7</v>
      </c>
      <c r="J9" s="26">
        <f t="shared" si="1"/>
        <v>2028</v>
      </c>
      <c r="K9" s="34">
        <f t="shared" si="2"/>
        <v>89190619.351328418</v>
      </c>
      <c r="L9" s="36">
        <f t="shared" si="2"/>
        <v>41009617.405083366</v>
      </c>
      <c r="M9" s="36">
        <f t="shared" si="2"/>
        <v>0</v>
      </c>
      <c r="N9" s="36">
        <f t="shared" si="2"/>
        <v>41799594.133745052</v>
      </c>
      <c r="O9" s="37">
        <f>NPV!C9</f>
        <v>0.78599096068381913</v>
      </c>
      <c r="P9" s="36">
        <f t="shared" si="3"/>
        <v>32854103.149376005</v>
      </c>
      <c r="Q9" s="36">
        <f t="shared" si="4"/>
        <v>32854103.149376005</v>
      </c>
    </row>
    <row r="10" spans="1:17" x14ac:dyDescent="0.25">
      <c r="A10" s="33">
        <v>8</v>
      </c>
      <c r="B10" s="26">
        <f>BCR!A10</f>
        <v>2029</v>
      </c>
      <c r="C10" s="35">
        <f>BCR!B10</f>
        <v>93667988.442765102</v>
      </c>
      <c r="D10" s="35">
        <f>'Analisa kas'!J16</f>
        <v>42092271.304577567</v>
      </c>
      <c r="E10" s="33">
        <v>0</v>
      </c>
      <c r="F10" s="35">
        <f>IRR!B10</f>
        <v>44875238.935062535</v>
      </c>
      <c r="G10" s="35">
        <f t="shared" si="0"/>
        <v>44875238.935062535</v>
      </c>
      <c r="H10" s="32"/>
      <c r="I10" s="34">
        <v>8</v>
      </c>
      <c r="J10" s="26">
        <f t="shared" si="1"/>
        <v>2029</v>
      </c>
      <c r="K10" s="34">
        <f t="shared" si="2"/>
        <v>93667988.442765102</v>
      </c>
      <c r="L10" s="36">
        <f t="shared" si="2"/>
        <v>42092271.304577567</v>
      </c>
      <c r="M10" s="36">
        <f t="shared" si="2"/>
        <v>0</v>
      </c>
      <c r="N10" s="36">
        <f t="shared" si="2"/>
        <v>44875238.935062535</v>
      </c>
      <c r="O10" s="37">
        <f>NPV!C10</f>
        <v>0.75941155621625056</v>
      </c>
      <c r="P10" s="36">
        <f t="shared" si="3"/>
        <v>34078775.035251915</v>
      </c>
      <c r="Q10" s="36">
        <f t="shared" si="4"/>
        <v>34078775.035251915</v>
      </c>
    </row>
    <row r="11" spans="1:17" x14ac:dyDescent="0.25">
      <c r="A11" s="33">
        <v>9</v>
      </c>
      <c r="B11" s="26">
        <f>BCR!A11</f>
        <v>2030</v>
      </c>
      <c r="C11" s="35">
        <f>BCR!B11</f>
        <v>98370121.462591916</v>
      </c>
      <c r="D11" s="35">
        <f>'Analisa kas'!K16</f>
        <v>43203507.267018415</v>
      </c>
      <c r="E11" s="33">
        <v>0</v>
      </c>
      <c r="F11" s="35">
        <f>IRR!B11</f>
        <v>48131112.082292251</v>
      </c>
      <c r="G11" s="35">
        <f t="shared" si="0"/>
        <v>48131112.082292251</v>
      </c>
      <c r="H11" s="32"/>
      <c r="I11" s="34">
        <v>9</v>
      </c>
      <c r="J11" s="26">
        <f t="shared" si="1"/>
        <v>2030</v>
      </c>
      <c r="K11" s="34">
        <f t="shared" si="2"/>
        <v>98370121.462591916</v>
      </c>
      <c r="L11" s="36">
        <f t="shared" si="2"/>
        <v>43203507.267018415</v>
      </c>
      <c r="M11" s="36">
        <f t="shared" si="2"/>
        <v>0</v>
      </c>
      <c r="N11" s="36">
        <f t="shared" si="2"/>
        <v>48131112.082292251</v>
      </c>
      <c r="O11" s="37">
        <f>NPV!C11</f>
        <v>0.73373097218961414</v>
      </c>
      <c r="P11" s="36">
        <f t="shared" si="3"/>
        <v>35315287.660707578</v>
      </c>
      <c r="Q11" s="36">
        <f t="shared" si="4"/>
        <v>35315287.660707578</v>
      </c>
    </row>
    <row r="12" spans="1:17" x14ac:dyDescent="0.25">
      <c r="A12" s="33">
        <v>10</v>
      </c>
      <c r="B12" s="26">
        <f>BCR!A12</f>
        <v>2031</v>
      </c>
      <c r="C12" s="35">
        <f>BCR!B12</f>
        <v>103308301.56001402</v>
      </c>
      <c r="D12" s="35">
        <f>'Analisa kas'!L16</f>
        <v>44344079.858867705</v>
      </c>
      <c r="E12" s="33">
        <v>0</v>
      </c>
      <c r="F12" s="35">
        <f>IRR!B12</f>
        <v>51576944.48220101</v>
      </c>
      <c r="G12" s="35">
        <f t="shared" si="0"/>
        <v>51576944.48220101</v>
      </c>
      <c r="H12" s="32"/>
      <c r="I12" s="34">
        <v>10</v>
      </c>
      <c r="J12" s="26">
        <f t="shared" si="1"/>
        <v>2031</v>
      </c>
      <c r="K12" s="34">
        <f t="shared" si="2"/>
        <v>103308301.56001402</v>
      </c>
      <c r="L12" s="36">
        <f t="shared" si="2"/>
        <v>44344079.858867705</v>
      </c>
      <c r="M12" s="36">
        <f t="shared" si="2"/>
        <v>0</v>
      </c>
      <c r="N12" s="36">
        <f t="shared" si="2"/>
        <v>51576944.48220101</v>
      </c>
      <c r="O12" s="37">
        <f>NPV!C12</f>
        <v>0.70891881370977217</v>
      </c>
      <c r="P12" s="36">
        <f t="shared" si="3"/>
        <v>36563866.297096722</v>
      </c>
      <c r="Q12" s="36">
        <f t="shared" si="4"/>
        <v>36563866.297096722</v>
      </c>
    </row>
    <row r="13" spans="1:17" x14ac:dyDescent="0.25">
      <c r="A13" s="33">
        <v>11</v>
      </c>
      <c r="B13" s="26">
        <f>BCR!A13</f>
        <v>2032</v>
      </c>
      <c r="C13" s="35">
        <f>BCR!B13</f>
        <v>108494378.29832673</v>
      </c>
      <c r="D13" s="35">
        <f>'Analisa kas'!M16</f>
        <v>45514763.567141809</v>
      </c>
      <c r="E13" s="33">
        <v>0</v>
      </c>
      <c r="F13" s="35">
        <f>IRR!B13</f>
        <v>55222973.651292339</v>
      </c>
      <c r="G13" s="35">
        <f t="shared" si="0"/>
        <v>55222973.651292339</v>
      </c>
      <c r="H13" s="32"/>
      <c r="I13" s="34">
        <v>11</v>
      </c>
      <c r="J13" s="26">
        <f t="shared" si="1"/>
        <v>2032</v>
      </c>
      <c r="K13" s="34">
        <f t="shared" si="2"/>
        <v>108494378.29832673</v>
      </c>
      <c r="L13" s="36">
        <f t="shared" si="2"/>
        <v>45514763.567141809</v>
      </c>
      <c r="M13" s="36">
        <f t="shared" si="2"/>
        <v>0</v>
      </c>
      <c r="N13" s="36">
        <f t="shared" si="2"/>
        <v>55222973.651292339</v>
      </c>
      <c r="O13" s="37">
        <f>NPV!C13</f>
        <v>0.68494571372924851</v>
      </c>
      <c r="P13" s="36">
        <f t="shared" si="3"/>
        <v>37824739.101835914</v>
      </c>
      <c r="Q13" s="36">
        <f t="shared" si="4"/>
        <v>37824739.101835914</v>
      </c>
    </row>
    <row r="14" spans="1:17" x14ac:dyDescent="0.25">
      <c r="A14" s="33">
        <v>12</v>
      </c>
      <c r="B14" s="26">
        <f>BCR!A14</f>
        <v>2033</v>
      </c>
      <c r="C14" s="35">
        <f>BCR!B14</f>
        <v>113940796.08890273</v>
      </c>
      <c r="D14" s="35">
        <f>'Analisa kas'!N16</f>
        <v>46716353.325314358</v>
      </c>
      <c r="E14" s="33">
        <v>0</v>
      </c>
      <c r="F14" s="35">
        <f>IRR!B14</f>
        <v>59079969.62970116</v>
      </c>
      <c r="G14" s="35">
        <f t="shared" si="0"/>
        <v>59079969.62970116</v>
      </c>
      <c r="H14" s="32"/>
      <c r="I14" s="34">
        <v>12</v>
      </c>
      <c r="J14" s="26">
        <f t="shared" si="1"/>
        <v>2033</v>
      </c>
      <c r="K14" s="34">
        <f t="shared" si="2"/>
        <v>113940796.08890273</v>
      </c>
      <c r="L14" s="36">
        <f t="shared" si="2"/>
        <v>46716353.325314358</v>
      </c>
      <c r="M14" s="36">
        <f t="shared" si="2"/>
        <v>0</v>
      </c>
      <c r="N14" s="36">
        <f t="shared" si="2"/>
        <v>59079969.62970116</v>
      </c>
      <c r="O14" s="37">
        <f>NPV!C14</f>
        <v>0.66178329828912896</v>
      </c>
      <c r="P14" s="36">
        <f t="shared" si="3"/>
        <v>39098137.164365202</v>
      </c>
      <c r="Q14" s="36">
        <f t="shared" si="4"/>
        <v>39098137.164365202</v>
      </c>
    </row>
    <row r="15" spans="1:17" x14ac:dyDescent="0.25">
      <c r="A15" s="33">
        <v>13</v>
      </c>
      <c r="B15" s="26">
        <f>BCR!A15</f>
        <v>2034</v>
      </c>
      <c r="C15" s="35">
        <f>BCR!B15</f>
        <v>119660624.05256565</v>
      </c>
      <c r="D15" s="35">
        <f>'Analisa kas'!O16</f>
        <v>47949665.053102657</v>
      </c>
      <c r="E15" s="33">
        <v>0</v>
      </c>
      <c r="F15" s="35">
        <f>IRR!B15</f>
        <v>63159262.208881423</v>
      </c>
      <c r="G15" s="35">
        <f t="shared" si="0"/>
        <v>63159262.208881423</v>
      </c>
      <c r="H15" s="32"/>
      <c r="I15" s="34">
        <v>13</v>
      </c>
      <c r="J15" s="26">
        <f t="shared" si="1"/>
        <v>2034</v>
      </c>
      <c r="K15" s="34">
        <f t="shared" si="2"/>
        <v>119660624.05256565</v>
      </c>
      <c r="L15" s="36">
        <f t="shared" si="2"/>
        <v>47949665.053102657</v>
      </c>
      <c r="M15" s="36">
        <f t="shared" si="2"/>
        <v>0</v>
      </c>
      <c r="N15" s="36">
        <f t="shared" si="2"/>
        <v>63159262.208881423</v>
      </c>
      <c r="O15" s="37">
        <f>NPV!C15</f>
        <v>0.63940415293635666</v>
      </c>
      <c r="P15" s="36">
        <f t="shared" si="3"/>
        <v>40384294.552755073</v>
      </c>
      <c r="Q15" s="36">
        <f t="shared" si="4"/>
        <v>40384294.552755073</v>
      </c>
    </row>
    <row r="16" spans="1:17" x14ac:dyDescent="0.25">
      <c r="A16" s="33">
        <v>14</v>
      </c>
      <c r="B16" s="26">
        <f>BCR!A16</f>
        <v>2035</v>
      </c>
      <c r="C16" s="35">
        <f>BCR!B16</f>
        <v>125667587.38000445</v>
      </c>
      <c r="D16" s="35">
        <f>'Analisa kas'!P16</f>
        <v>49215536.210504569</v>
      </c>
      <c r="E16" s="33">
        <v>0</v>
      </c>
      <c r="F16" s="35">
        <f>IRR!B16</f>
        <v>67472769.539389223</v>
      </c>
      <c r="G16" s="35">
        <f t="shared" si="0"/>
        <v>67472769.539389223</v>
      </c>
      <c r="H16" s="32"/>
      <c r="I16" s="34">
        <v>14</v>
      </c>
      <c r="J16" s="26">
        <f t="shared" si="1"/>
        <v>2035</v>
      </c>
      <c r="K16" s="34">
        <f t="shared" si="2"/>
        <v>125667587.38000445</v>
      </c>
      <c r="L16" s="36">
        <f t="shared" si="2"/>
        <v>49215536.210504569</v>
      </c>
      <c r="M16" s="36">
        <f t="shared" si="2"/>
        <v>0</v>
      </c>
      <c r="N16" s="36">
        <f t="shared" si="2"/>
        <v>67472769.539389223</v>
      </c>
      <c r="O16" s="37">
        <f>NPV!C16</f>
        <v>0.61778179027667302</v>
      </c>
      <c r="P16" s="36">
        <f t="shared" si="3"/>
        <v>41683448.360969245</v>
      </c>
      <c r="Q16" s="36">
        <f t="shared" si="4"/>
        <v>41683448.360969245</v>
      </c>
    </row>
    <row r="17" spans="1:17" x14ac:dyDescent="0.25">
      <c r="A17" s="33">
        <v>15</v>
      </c>
      <c r="B17" s="26">
        <f>BCR!A17</f>
        <v>2036</v>
      </c>
      <c r="C17" s="35">
        <f>BCR!B17</f>
        <v>131976100.26648067</v>
      </c>
      <c r="D17" s="35">
        <f>'Analisa kas'!Q16</f>
        <v>50514826.366461888</v>
      </c>
      <c r="E17" s="33">
        <v>0</v>
      </c>
      <c r="F17" s="35">
        <f>IRR!B17</f>
        <v>72033028.188402593</v>
      </c>
      <c r="G17" s="35">
        <f t="shared" si="0"/>
        <v>72033028.188402593</v>
      </c>
      <c r="H17" s="32"/>
      <c r="I17" s="34">
        <v>15</v>
      </c>
      <c r="J17" s="26">
        <f t="shared" si="1"/>
        <v>2036</v>
      </c>
      <c r="K17" s="34">
        <f t="shared" si="2"/>
        <v>131976100.26648067</v>
      </c>
      <c r="L17" s="36">
        <f t="shared" si="2"/>
        <v>50514826.366461888</v>
      </c>
      <c r="M17" s="36">
        <f t="shared" si="2"/>
        <v>0</v>
      </c>
      <c r="N17" s="36">
        <f t="shared" si="2"/>
        <v>72033028.188402593</v>
      </c>
      <c r="O17" s="37">
        <f>NPV!C17</f>
        <v>0.59689061862480497</v>
      </c>
      <c r="P17" s="36">
        <f t="shared" si="3"/>
        <v>42995838.756793641</v>
      </c>
      <c r="Q17" s="36">
        <f t="shared" si="4"/>
        <v>42995838.756793641</v>
      </c>
    </row>
    <row r="18" spans="1:17" x14ac:dyDescent="0.25">
      <c r="A18" s="33">
        <v>16</v>
      </c>
      <c r="B18" s="26">
        <f>BCR!A18</f>
        <v>2037</v>
      </c>
      <c r="C18" s="35">
        <f>BCR!B18</f>
        <v>138601300.49985799</v>
      </c>
      <c r="D18" s="35">
        <f>'Analisa kas'!R16</f>
        <v>51848417.782536492</v>
      </c>
      <c r="E18" s="33">
        <v>0</v>
      </c>
      <c r="F18" s="35">
        <f>IRR!B18</f>
        <v>76853224.720124513</v>
      </c>
      <c r="G18" s="35">
        <f t="shared" si="0"/>
        <v>76853224.720124513</v>
      </c>
      <c r="H18" s="32"/>
      <c r="I18" s="34">
        <v>16</v>
      </c>
      <c r="J18" s="26">
        <f t="shared" si="1"/>
        <v>2037</v>
      </c>
      <c r="K18" s="34">
        <f t="shared" si="2"/>
        <v>138601300.49985799</v>
      </c>
      <c r="L18" s="36">
        <f t="shared" si="2"/>
        <v>51848417.782536492</v>
      </c>
      <c r="M18" s="36">
        <f t="shared" si="2"/>
        <v>0</v>
      </c>
      <c r="N18" s="36">
        <f t="shared" si="2"/>
        <v>76853224.720124513</v>
      </c>
      <c r="O18" s="37">
        <f>NPV!C18</f>
        <v>0.57670591171478747</v>
      </c>
      <c r="P18" s="36">
        <f t="shared" si="3"/>
        <v>44321709.030440852</v>
      </c>
      <c r="Q18" s="36">
        <f t="shared" si="4"/>
        <v>44321709.030440852</v>
      </c>
    </row>
    <row r="19" spans="1:17" x14ac:dyDescent="0.25">
      <c r="A19" s="33">
        <v>17</v>
      </c>
      <c r="B19" s="26">
        <f>BCR!A19</f>
        <v>2038</v>
      </c>
      <c r="C19" s="35">
        <f>BCR!B19</f>
        <v>145559085.78495085</v>
      </c>
      <c r="D19" s="35">
        <f>'Analisa kas'!S16</f>
        <v>53217216.01199545</v>
      </c>
      <c r="E19" s="33">
        <v>0</v>
      </c>
      <c r="F19" s="35">
        <f>IRR!B19</f>
        <v>81947228.87589857</v>
      </c>
      <c r="G19" s="35">
        <f t="shared" si="0"/>
        <v>81947228.87589857</v>
      </c>
      <c r="H19" s="32"/>
      <c r="I19" s="34">
        <v>17</v>
      </c>
      <c r="J19" s="26">
        <f t="shared" si="1"/>
        <v>2038</v>
      </c>
      <c r="K19" s="34">
        <f t="shared" si="2"/>
        <v>145559085.78495085</v>
      </c>
      <c r="L19" s="36">
        <f t="shared" si="2"/>
        <v>53217216.01199545</v>
      </c>
      <c r="M19" s="36">
        <f t="shared" si="2"/>
        <v>0</v>
      </c>
      <c r="N19" s="36">
        <f t="shared" si="2"/>
        <v>81947228.87589857</v>
      </c>
      <c r="O19" s="37">
        <f>NPV!C19</f>
        <v>0.55720377943457733</v>
      </c>
      <c r="P19" s="36">
        <f t="shared" si="3"/>
        <v>45661305.643841013</v>
      </c>
      <c r="Q19" s="36">
        <f t="shared" si="4"/>
        <v>45661305.643841013</v>
      </c>
    </row>
    <row r="20" spans="1:17" x14ac:dyDescent="0.25">
      <c r="A20" s="33">
        <v>18</v>
      </c>
      <c r="B20" s="26">
        <f>BCR!A20</f>
        <v>2039</v>
      </c>
      <c r="C20" s="42">
        <f>BCR!B20</f>
        <v>152866151.8913554</v>
      </c>
      <c r="D20" s="42">
        <f>'Analisa kas'!T16</f>
        <v>54622150.51471211</v>
      </c>
      <c r="E20" s="43">
        <v>0</v>
      </c>
      <c r="F20" s="42">
        <f>IRR!B20</f>
        <v>87329628.434733599</v>
      </c>
      <c r="G20" s="42">
        <f t="shared" si="0"/>
        <v>87329628.434733599</v>
      </c>
      <c r="H20" s="32"/>
      <c r="I20" s="40">
        <v>18</v>
      </c>
      <c r="J20" s="26">
        <f t="shared" si="1"/>
        <v>2039</v>
      </c>
      <c r="K20" s="40">
        <f t="shared" si="2"/>
        <v>152866151.8913554</v>
      </c>
      <c r="L20" s="44">
        <f t="shared" si="2"/>
        <v>54622150.51471211</v>
      </c>
      <c r="M20" s="36">
        <f t="shared" si="2"/>
        <v>0</v>
      </c>
      <c r="N20" s="36">
        <f t="shared" si="2"/>
        <v>87329628.434733599</v>
      </c>
      <c r="O20" s="37">
        <f>NPV!C20</f>
        <v>0.53836113955031628</v>
      </c>
      <c r="P20" s="36">
        <f t="shared" si="3"/>
        <v>47014878.280628882</v>
      </c>
      <c r="Q20" s="36">
        <f t="shared" si="4"/>
        <v>47014878.280628882</v>
      </c>
    </row>
    <row r="21" spans="1:17" x14ac:dyDescent="0.25">
      <c r="A21" s="33">
        <v>19</v>
      </c>
      <c r="B21" s="26">
        <f>BCR!A21</f>
        <v>2040</v>
      </c>
      <c r="C21" s="45">
        <f>BCR!B21</f>
        <v>160540032.71630144</v>
      </c>
      <c r="D21" s="45">
        <f>'Analisa kas'!U16</f>
        <v>56064175.288300522</v>
      </c>
      <c r="E21" s="34">
        <v>0</v>
      </c>
      <c r="F21" s="45">
        <f>IRR!B21</f>
        <v>93015765.838995755</v>
      </c>
      <c r="G21" s="45">
        <f>F21</f>
        <v>93015765.838995755</v>
      </c>
      <c r="H21" s="46"/>
      <c r="I21" s="34">
        <v>19</v>
      </c>
      <c r="J21" s="26">
        <f t="shared" si="1"/>
        <v>2040</v>
      </c>
      <c r="K21" s="45">
        <f>C21</f>
        <v>160540032.71630144</v>
      </c>
      <c r="L21" s="45">
        <f>D21</f>
        <v>56064175.288300522</v>
      </c>
      <c r="M21" s="36">
        <f t="shared" si="2"/>
        <v>0</v>
      </c>
      <c r="N21" s="36">
        <f t="shared" si="2"/>
        <v>93015765.838995755</v>
      </c>
      <c r="O21" s="41">
        <f>NPV!C21</f>
        <v>0.52015569038677911</v>
      </c>
      <c r="P21" s="36">
        <f t="shared" si="3"/>
        <v>48382679.896837823</v>
      </c>
      <c r="Q21" s="36">
        <f t="shared" si="4"/>
        <v>48382679.896837823</v>
      </c>
    </row>
    <row r="22" spans="1:17" x14ac:dyDescent="0.25">
      <c r="A22" s="33">
        <v>20</v>
      </c>
      <c r="B22" s="26">
        <f>BCR!A22</f>
        <v>2041</v>
      </c>
      <c r="C22" s="45">
        <f>BCR!B22</f>
        <v>166174987.86464363</v>
      </c>
      <c r="D22" s="45">
        <f>'Analisa kas'!V16</f>
        <v>57544269.515911646</v>
      </c>
      <c r="E22" s="34">
        <v>0</v>
      </c>
      <c r="F22" s="45">
        <f>IRR!B22</f>
        <v>96597622.180276573</v>
      </c>
      <c r="G22" s="45">
        <f>F22</f>
        <v>96597622.180276573</v>
      </c>
      <c r="H22" s="46"/>
      <c r="I22" s="34">
        <v>20</v>
      </c>
      <c r="J22" s="26">
        <f t="shared" si="1"/>
        <v>2041</v>
      </c>
      <c r="K22" s="45">
        <f>C22</f>
        <v>166174987.86464363</v>
      </c>
      <c r="L22" s="45">
        <f>D22</f>
        <v>57544269.515911646</v>
      </c>
      <c r="M22" s="36">
        <f t="shared" ref="M22:N22" si="5">E22</f>
        <v>0</v>
      </c>
      <c r="N22" s="36">
        <f t="shared" si="5"/>
        <v>96597622.180276573</v>
      </c>
      <c r="O22" s="41">
        <f>NPV!C22</f>
        <v>0.50256588443167061</v>
      </c>
      <c r="P22" s="36">
        <f t="shared" si="3"/>
        <v>48546669.425027058</v>
      </c>
      <c r="Q22" s="36">
        <f t="shared" si="4"/>
        <v>48546669.425027058</v>
      </c>
    </row>
    <row r="24" spans="1:17" x14ac:dyDescent="0.25">
      <c r="G24" s="47"/>
    </row>
    <row r="25" spans="1:17" x14ac:dyDescent="0.25">
      <c r="F25" t="s">
        <v>61</v>
      </c>
      <c r="G25" s="47">
        <v>3</v>
      </c>
    </row>
    <row r="26" spans="1:17" x14ac:dyDescent="0.25">
      <c r="F26" t="s">
        <v>59</v>
      </c>
      <c r="G26" s="47">
        <f>E3</f>
        <v>101450000</v>
      </c>
    </row>
    <row r="27" spans="1:17" x14ac:dyDescent="0.25">
      <c r="F27" t="s">
        <v>60</v>
      </c>
      <c r="G27" s="47">
        <f>G4</f>
        <v>-72633333.333333328</v>
      </c>
    </row>
    <row r="28" spans="1:17" x14ac:dyDescent="0.25">
      <c r="F28" t="s">
        <v>62</v>
      </c>
      <c r="G28" s="47">
        <f>G5</f>
        <v>31121063.333333343</v>
      </c>
    </row>
    <row r="29" spans="1:17" x14ac:dyDescent="0.25">
      <c r="F29" t="s">
        <v>63</v>
      </c>
      <c r="G29">
        <f>G25+(G26+G27)/(G28-G27)</f>
        <v>3.277739234118882</v>
      </c>
    </row>
  </sheetData>
  <mergeCells count="14">
    <mergeCell ref="P1:P2"/>
    <mergeCell ref="Q1:Q2"/>
    <mergeCell ref="I1:I2"/>
    <mergeCell ref="J1:J2"/>
    <mergeCell ref="K1:K2"/>
    <mergeCell ref="L1:M1"/>
    <mergeCell ref="N1:N2"/>
    <mergeCell ref="O1:O2"/>
    <mergeCell ref="G1:G2"/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Analisa kas</vt:lpstr>
      <vt:lpstr>Pendapatan biaya chasflow</vt:lpstr>
      <vt:lpstr>BEP</vt:lpstr>
      <vt:lpstr>NPV</vt:lpstr>
      <vt:lpstr>BCR</vt:lpstr>
      <vt:lpstr>IRR</vt:lpstr>
      <vt:lpstr>Payback 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2021-12-30T11:43:16Z</dcterms:created>
  <dcterms:modified xsi:type="dcterms:W3CDTF">2022-04-26T18:52:21Z</dcterms:modified>
</cp:coreProperties>
</file>